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7170" firstSheet="2" activeTab="2"/>
  </bookViews>
  <sheets>
    <sheet name="Cân đối" sheetId="1" state="hidden" r:id="rId1"/>
    <sheet name="tăng thu" sheetId="2" state="hidden" r:id="rId2"/>
    <sheet name="Thu" sheetId="3" r:id="rId3"/>
    <sheet name="Chi" sheetId="4" r:id="rId4"/>
    <sheet name="CHI ĐẦU TƯ XDCB" sheetId="5" r:id="rId5"/>
  </sheets>
  <externalReferences>
    <externalReference r:id="rId8"/>
  </externalReferences>
  <definedNames>
    <definedName name="chuong_phuluc_10" localSheetId="3">'Chi'!#REF!</definedName>
    <definedName name="chuong_phuluc_10_name" localSheetId="3">'Chi'!#REF!</definedName>
    <definedName name="chuong_phuluc_8" localSheetId="0">'Cân đối'!$D$1</definedName>
    <definedName name="chuong_phuluc_8_name" localSheetId="0">'Cân đối'!$A$4</definedName>
    <definedName name="chuong_phuluc_9" localSheetId="1">'tăng thu'!#REF!</definedName>
    <definedName name="chuong_phuluc_9" localSheetId="2">'Thu'!#REF!</definedName>
    <definedName name="chuong_phuluc_9_name" localSheetId="1">'tăng thu'!#REF!</definedName>
    <definedName name="chuong_phuluc_9_name" localSheetId="2">'Thu'!#REF!</definedName>
  </definedNames>
  <calcPr fullCalcOnLoad="1"/>
</workbook>
</file>

<file path=xl/comments5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9"/>
            <rFont val="Tahoma"/>
            <family val="2"/>
          </rPr>
          <t>1: Phục vụ công tác giải phóng mặt bằng và tái định cư; 2: Tạo quỹ đấtThực hiện chương trình Nhà vệ sinh trường học giai đoạn 2020 - 2021; 3: Thanh toán nợ, nợ  đọng xdcb; 4: Đầu tư công trình công cộng, nghĩa trang; 5: Đầu tư xây dựng nông thôn mới; 6: Xây dựng  giao thông, thủy lợi và các nội dung khác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<sst xmlns="http://schemas.openxmlformats.org/spreadsheetml/2006/main" count="347" uniqueCount="267">
  <si>
    <t>Mẫu biểu số 07</t>
  </si>
  <si>
    <t>Đơn vị: đồng</t>
  </si>
  <si>
    <t>Nội dung thu</t>
  </si>
  <si>
    <t>Quyết toán</t>
  </si>
  <si>
    <t>Nội dung chi</t>
  </si>
  <si>
    <t>Tổng số thu</t>
  </si>
  <si>
    <t>I. Các khoản thu xã hưởng 100%</t>
  </si>
  <si>
    <t>Tổng số chi</t>
  </si>
  <si>
    <t>I. Chi đầu tư phát triển</t>
  </si>
  <si>
    <t>II. Chi thường xuyên</t>
  </si>
  <si>
    <t>III. Thu bổ sung</t>
  </si>
  <si>
    <t>- Bổ sung cân đối ngân sách</t>
  </si>
  <si>
    <t>- Bổ sung có mục tiêu</t>
  </si>
  <si>
    <t>IV. Thu kết dư ngân sách năm trước</t>
  </si>
  <si>
    <t>V. Thu viện trợ</t>
  </si>
  <si>
    <t>Kết dư ngân sách</t>
  </si>
  <si>
    <t>(Ban hành kèm theo Thông tư số 344/2016/TT-BTC ngày 30 tháng 12 năm 2016 của 
Bộ Tài chính)</t>
  </si>
  <si>
    <r>
      <t>II. Các khoản thu phân chia theo tỷ lệ </t>
    </r>
    <r>
      <rPr>
        <sz val="12"/>
        <color indexed="8"/>
        <rFont val="Times New Roman"/>
        <family val="1"/>
      </rPr>
      <t>(1)</t>
    </r>
  </si>
  <si>
    <t>III. Chi chuyển nguồn
 của ngân sách xã sang năm sau (nếu có)</t>
  </si>
  <si>
    <t>IV. Chi nộp trả ngân 
sách cấp trên</t>
  </si>
  <si>
    <t>Mẫu biểu số 08</t>
  </si>
  <si>
    <t>Nội dung</t>
  </si>
  <si>
    <t>Dự toán</t>
  </si>
  <si>
    <t>So sánh (%)</t>
  </si>
  <si>
    <t>Thu NSNN</t>
  </si>
  <si>
    <t>Thu NSX</t>
  </si>
  <si>
    <t>I. Các khoản thu 100%</t>
  </si>
  <si>
    <t>- Phí, lệ phí</t>
  </si>
  <si>
    <t>- Thu từ quỹ đất công ích và thu hoa lợi công sản khác</t>
  </si>
  <si>
    <t>- Thu từ hoạt động kinh tế và sự nghiệp</t>
  </si>
  <si>
    <t>- Thu phạt, tịch thu khác theo quy định</t>
  </si>
  <si>
    <t>- Thu từ tài sản được xác lập quyền sở hữu của nhà nước theo quy định</t>
  </si>
  <si>
    <t>- Đóng góp tự nguyện của các tổ chức, cá nhân</t>
  </si>
  <si>
    <t>- Thu khác</t>
  </si>
  <si>
    <t>II. Các khoản thu phân chia theo tỷ lệ phần trăm (%)</t>
  </si>
  <si>
    <t>1. Các khoản thu phân chia</t>
  </si>
  <si>
    <t>- Lệ phí trước bạ nhà, đất</t>
  </si>
  <si>
    <t>III. Thu viện trợ không hoàn lại trực tiếp cho xã (nếu có)</t>
  </si>
  <si>
    <t>IV. Thu chuyển nguồn</t>
  </si>
  <si>
    <t>V. Thu kết dư ngân sách năm trước</t>
  </si>
  <si>
    <t>VI. Thu bổ sung từ ngân sách cấp trên</t>
  </si>
  <si>
    <t>Mẫu biểu số 09</t>
  </si>
  <si>
    <t>Tổng số</t>
  </si>
  <si>
    <t>ĐTPT</t>
  </si>
  <si>
    <t>TX</t>
  </si>
  <si>
    <t>8= 5/2</t>
  </si>
  <si>
    <t>9= 6/3</t>
  </si>
  <si>
    <t>10= 7/4</t>
  </si>
  <si>
    <t>Tổng chi</t>
  </si>
  <si>
    <t>1. Chi cho công tác dân quân tự vệ, trật tự an toàn xã hội</t>
  </si>
  <si>
    <t>- Chi dân quân tự vệ</t>
  </si>
  <si>
    <t>- Chi trật tự an toàn xã hội</t>
  </si>
  <si>
    <t>- Giao thông</t>
  </si>
  <si>
    <t>- Nông - lâm - thủy lợi - hải sản</t>
  </si>
  <si>
    <t>- Thị chính</t>
  </si>
  <si>
    <t>- Thương mại, du lịch</t>
  </si>
  <si>
    <t>- Các hoạt động kinh tế khác</t>
  </si>
  <si>
    <t>- Trợ cấp xã hội</t>
  </si>
  <si>
    <t>- Khác</t>
  </si>
  <si>
    <t>- Thuế GTGT -TNDN</t>
  </si>
  <si>
    <t>- Thuế Thu nhập cá nhân</t>
  </si>
  <si>
    <t>- Thu tiền sử dụng đất</t>
  </si>
  <si>
    <t>- Thu tiền cho thuê mặt đất</t>
  </si>
  <si>
    <t>- Bảo vệ rừng</t>
  </si>
  <si>
    <t>VI. Thu chuyển nguồn từ năm trước sang của ngân sách xã (nếu có)</t>
  </si>
  <si>
    <t>(Ban hành kèm theo Thông tư số 344/2016/TT-BTC ngày 30 tháng 12 năm 2016 của  Bộ Tài chính)</t>
  </si>
  <si>
    <t>I. Chi Thường xuyên</t>
  </si>
  <si>
    <t>- Thuế tài nguyên</t>
  </si>
  <si>
    <t>-Thuế sử dụng đất phi NN</t>
  </si>
  <si>
    <t>2. Chi đào tạo cán bộ</t>
  </si>
  <si>
    <t>- Trợ cấp hàng tháng cho cán bộ xã nghỉ việc theo chế độ quy định và Trợ cấp khác</t>
  </si>
  <si>
    <t>- Trẻ mồ côi, người già không nơi nương tựa</t>
  </si>
  <si>
    <t>Trong đó phí môn bài</t>
  </si>
  <si>
    <t>- Chi ban thanh tra nhân dân</t>
  </si>
  <si>
    <t>-Chi ban Giám sát cộng đồng</t>
  </si>
  <si>
    <t>- Chi hỗ trợ các tổ chức chính trị cấp thôn</t>
  </si>
  <si>
    <t>- Các tổ chức chính trị cấp xã</t>
  </si>
  <si>
    <t>+Mặt trận Tổ quốc Việt Nam</t>
  </si>
  <si>
    <t>+ Đoàn Thanh niên Cộng sản HCM</t>
  </si>
  <si>
    <t>+ Hội Liên hiệp Phụ nữ</t>
  </si>
  <si>
    <t>+Hội Cựu chiến binh</t>
  </si>
  <si>
    <t>+ Hội Nông dân</t>
  </si>
  <si>
    <t>3. Chi y tế</t>
  </si>
  <si>
    <t>4. Chi văn hóa, thông tin</t>
  </si>
  <si>
    <t>5. Chi phát thanh, truyền thanh</t>
  </si>
  <si>
    <t>6. Chi thể dục, thể thao</t>
  </si>
  <si>
    <t>7. Chi cho công tác xã hội</t>
  </si>
  <si>
    <t>8. Chi các hoạt động kinh tế</t>
  </si>
  <si>
    <t>9. Chi quản lý Nhà nước, Đảng, đoàn thể</t>
  </si>
  <si>
    <t>9.1 Chi Thường xuyên</t>
  </si>
  <si>
    <t>9.1.1Chi Thường xuyên</t>
  </si>
  <si>
    <t>9.1.2 Chi thường xuyên phân bổ thêm</t>
  </si>
  <si>
    <t>9.1.3 Kinh phí hỗ trợ các tổ chức chính trị</t>
  </si>
  <si>
    <t>9.1.4 Chi hòa giải cơ sở</t>
  </si>
  <si>
    <t>9.1.7 Công tác quản lý đô thị</t>
  </si>
  <si>
    <t>9.2.Chi tiền lương và phụ cấp</t>
  </si>
  <si>
    <t>9.3. Chi khác</t>
  </si>
  <si>
    <t>9.2.1 Quỹ lương phụ cấp QLHC</t>
  </si>
  <si>
    <t>II. Dự phòng</t>
  </si>
  <si>
    <t>IV. Chi bổ sung từ Ngân sách cấp trên</t>
  </si>
  <si>
    <t>A.Cân đối qua Ngân sách (I+II+III…)</t>
  </si>
  <si>
    <t>B. Các khoản chi để lại NSNN Quản Lý</t>
  </si>
  <si>
    <t>-'Thu thuế nộp chậm</t>
  </si>
  <si>
    <t>VI. Chi nộp trả Ngân sách huyện</t>
  </si>
  <si>
    <t>VII. Kết dư Ngân sách</t>
  </si>
  <si>
    <t>VII. Chi chuyển nguồn XDCB</t>
  </si>
  <si>
    <t>BIỂU CÂN ĐỐI QUYẾT TOÁN NGÂN SÁCH XÃ NĂM 2022</t>
  </si>
  <si>
    <t>Thu bến xe + chợ</t>
  </si>
  <si>
    <t>Kinh phí diễn tập chiến đấu phòng thủ xã theo Quyết định số 1485/QĐ-UBND ngày 8/6/2022</t>
  </si>
  <si>
    <t>Kp chi trả chế độ cho người có công</t>
  </si>
  <si>
    <t>V. Chi chuyển nguồn sang năm 2023</t>
  </si>
  <si>
    <t>- Kinh phí thực hiện chế độ chính sách theo Quyết định số 593/QĐ-UBND ngày 9/3/2022</t>
  </si>
  <si>
    <t>- Kinh phí mua sắm thiết bị phòng cháy chữa cháy theo Quyết định số 250/QĐ-UBND ngày 19/1/2022</t>
  </si>
  <si>
    <t>- Kinh phí phòng chống dịch covid theo Quyết định số 594/QĐ-UBND ngày 9/3/2022</t>
  </si>
  <si>
    <t>- Kinh phí vớt bèo, diệt cây mắt mèo theo thông báo số 71/TB-UBND ngày 18/2/2022</t>
  </si>
  <si>
    <t>- Kinh phí hỗ trợ địa phương sản xuất lúa theo Quyết định số 1045/QĐ-UBND ngày 19/4/2022</t>
  </si>
  <si>
    <t>- Kinh phí hỗ trợ nhà ở có công theo Quyết định số 1053/QĐ-UBND ngày 19/4/2022</t>
  </si>
  <si>
    <t>-Kinh phí hỗ trợ người lao động không có giao kết hợp đồng lao động, hộ kinh doanh,người sử dụng lao động điều trị do nhiễm Covid-19theo Quyết định số 1599/QĐ-UBND ngày 22/6/2022</t>
  </si>
  <si>
    <t>-Kinh phí phục vụ tiếp nhận công dân điều trị Covid-19 và hỗ trợ các tổ y tế lưu động theo Quyết định số 1600/QĐ-UBND ngày 22/6/2022</t>
  </si>
  <si>
    <t>-Kinh phí phục vụ công tác tổ chức Lễ công bố huyện Quảng Điền đạt chuẩn nông thôn mới theo Quyết định số 1529/QĐ-UBND ngày 15/6/2022</t>
  </si>
  <si>
    <t>- Kinh phí  sữa chữa nhà văn hóa thôn Nam Giảng theo Quyết định số 1649/QĐ-UBND ngày 30/6/2022</t>
  </si>
  <si>
    <t>- Kinh phí hỗ trợ mua sắm sữa chữa trang thiết bị theo QĐ số 2995 ngày 7/12/2022</t>
  </si>
  <si>
    <t>- Kinh phí trợ cấp cho cán bộ công an viên thôi việc QĐ số 3064 ngày 15/12/2022</t>
  </si>
  <si>
    <t>Thu phạt NVQS, VPHC</t>
  </si>
  <si>
    <t>Có phụ
 lục kèm</t>
  </si>
  <si>
    <t>- Tăng thu tiết kiệm chi 30% của xã ( Phương án chi của HĐND xã)</t>
  </si>
  <si>
    <t>- Chi kinh phí tiền sử dụng đất</t>
  </si>
  <si>
    <t>- Chi kinh phí mua kist test covid</t>
  </si>
  <si>
    <t>- Chi kinh phí soạn và phát hành lịch sữ
 Đảng bộ</t>
  </si>
  <si>
    <t>- Chi kinh phí đào tạo cán bộ</t>
  </si>
  <si>
    <t>- Chi kinh phí hòa giải cơ sở</t>
  </si>
  <si>
    <t>- Chi kinh phí phòng chống dịch covid 19</t>
  </si>
  <si>
    <t>- Chi kinh phí hoạt động TDTT</t>
  </si>
  <si>
    <t>* Tổng thu</t>
  </si>
  <si>
    <t xml:space="preserve">III.Chi từ nguồn KP chuyển nguồn năm trước </t>
  </si>
  <si>
    <t>- KP  BS có mục tiêu</t>
  </si>
  <si>
    <t>- Nguồn tiền sử sụng đất</t>
  </si>
  <si>
    <t>- Kinh phí 70% tăng thu</t>
  </si>
  <si>
    <t>- Kinh phí tiết kiệm 10% (TX)</t>
  </si>
  <si>
    <t>TỔNG HỢ PTĂNG THU THU NGÂN SÁCH XÃ QUẢNG THÁI NĂM 2022</t>
  </si>
  <si>
    <t xml:space="preserve">Tăng thu </t>
  </si>
  <si>
    <t>- Kinh phí tiền lương</t>
  </si>
  <si>
    <t>- Kinh phí 30% tăng thu 2022</t>
  </si>
  <si>
    <t>- Kinh phí 30% tăng thu 2021</t>
  </si>
  <si>
    <t>-KP DT giao đầu năm còn nhiệm vụ chi: (hòa giải cs, đảm bảo XH,SNKT,đào tạo)</t>
  </si>
  <si>
    <t>- KP tiết kiệm chi TX đã XD phương chi</t>
  </si>
  <si>
    <t>A Tổng thu</t>
  </si>
  <si>
    <t>9.1.5.Đảng Cộng sản Việt Nam</t>
  </si>
  <si>
    <t>-Tổng chi từ nguồn XDCB</t>
  </si>
  <si>
    <t>-Tổng kinh phí đã chi từ nguồn XDCB</t>
  </si>
  <si>
    <t>-Bê tông hóa tuyến đường chợ Nịu 1</t>
  </si>
  <si>
    <t>+Tạm ứng 30% giá trị xây lắp
công trình</t>
  </si>
  <si>
    <t xml:space="preserve">+Thanh toán chi phí tư vấn khảo sát lập BCKTKT </t>
  </si>
  <si>
    <t>+Thanh toán giá trị xây lắp hoàn thành  công trình</t>
  </si>
  <si>
    <t>+Chuyển CP giám sát</t>
  </si>
  <si>
    <t>-Công trình Nâng cấp nền và hệ thống
 thoát nước, xử lý môi trường khu tự tiêu tự sản Chợ Nịu</t>
  </si>
  <si>
    <t xml:space="preserve">+Thanh toán chi phí khảo sát lập BCKTKT công trình  </t>
  </si>
  <si>
    <t xml:space="preserve">+Thanh toán chi phí thẩm tra công trình  </t>
  </si>
  <si>
    <t xml:space="preserve">+Thanh toán chi phí xây lắp công trình  </t>
  </si>
  <si>
    <t xml:space="preserve">+Chuyển CP xây lắp hoàn thành công trình </t>
  </si>
  <si>
    <t>-CT Nhà làm việc xã Quảng Thái. Hạng mục: Trung tâm 1 cửa kết hợp nhà làm việc</t>
  </si>
  <si>
    <t xml:space="preserve">+ Chuyển tạm ứng QLDA  </t>
  </si>
  <si>
    <t xml:space="preserve">+Chuyển tạm ứng </t>
  </si>
  <si>
    <t xml:space="preserve">+Chuyển  khảo sát công trình </t>
  </si>
  <si>
    <t xml:space="preserve">+Chuyển CP thẩm tra công trình </t>
  </si>
  <si>
    <t>+Thanh toán chi phí tư vấn khảo sát địa hình</t>
  </si>
  <si>
    <t>+Chuyển CP QLDA</t>
  </si>
  <si>
    <t xml:space="preserve">+Chuyển chi phí xây lắp GĐ 2 công trình </t>
  </si>
  <si>
    <t>- Chỉnh trang sân vườn Ủy ban nhân
 dân, Nhà văn hóa xã Quảng Thái</t>
  </si>
  <si>
    <t>- Chi kinh phí tiền sử dụng đất (không có mã)</t>
  </si>
  <si>
    <t>TỔNG HỢP QUYẾT TOÁN THU NGÂN SÁCH XÃ  QUẢNG THÁI NĂM 2022</t>
  </si>
  <si>
    <t>-Thu thuế nộp chậm</t>
  </si>
  <si>
    <t>+Thu bến xe + chợ</t>
  </si>
  <si>
    <t>+Thu phạt NVQS, VPHC</t>
  </si>
  <si>
    <t>TỔNG HỢP QUYẾT TOÁN CHI NGÂN SÁCH XÃ QUẢNG THÁI NĂM 2022</t>
  </si>
  <si>
    <t>- Kinh phí hỗ trợ  trẻ em, người khuyết tật , hỗ trợ tiền ăn đối với người điều trị cách ly y tế do ảnh hưởng của dịch covid theo Quyết định số 2781/QĐ-UBND ngày 7/11/2022</t>
  </si>
  <si>
    <t>- Kinh phí lập quy hoạch chung xây dựng xã theo QĐ số 2817 ngày 9/11/2022</t>
  </si>
  <si>
    <t>- Kinh phí hỗ trợ các hộ vệ sinh đồng ruộng do ảnh hưởng của mưa lũ theo QĐ số 2859 ngày 15/11/2022</t>
  </si>
  <si>
    <t>+ Chuyển chi phí thẩm tra dự toán công trình</t>
  </si>
  <si>
    <t xml:space="preserve">+Thanh toán giá trị xây lắp hoàn thành giai đoạn 1 </t>
  </si>
  <si>
    <t>9.2.2 Khám tuyển nghĩa vụ QS</t>
  </si>
  <si>
    <t>- Kinh phí bổ sung vớt bèo, diệt cây mắt mèo theo thông báo số 71/TB-UBND ngày 18/2/2022</t>
  </si>
  <si>
    <t>-Kinh phí hỗ trợ địa phương sản xuất lúa theo Quyết định số 1045/QĐ-UBND ngày 19/4/2022</t>
  </si>
  <si>
    <t>- Kinh phí hỗ trợ người lao động không có giao kết hợp đồng lao động, hộ kinh doanh,người sử dụng lao động  điều trị do nhiễm Covid-19theo Quyết định số 1599/QĐ-UBND ngày 22/6/2022</t>
  </si>
  <si>
    <t>- Kinh phí diễn tập chiến đấu phòng thủ xã theo Quyết định số 1485/QĐ-UBND ngày 8/6/2022</t>
  </si>
  <si>
    <t>- Kinh phí phục vụ tiếp nhận công dân điều trị Covid-19 và hỗ trợ các tổ y tế lưu động theo Quyết định số 1600/QĐ-UBND ngày 22/6/2022</t>
  </si>
  <si>
    <t>- Kinh phí phục vụ công tác tổ chức Lễ công bố huyện Quảng Điền đạt chuẩn nông thôn mới theo Quyết định số 1529/QĐ-UBND ngày 15/6/2022</t>
  </si>
  <si>
    <t>-Kinh phí lập quy hoạch chung xây dựng xã theo QĐ số 2817 ngày 9/11/2022</t>
  </si>
  <si>
    <t>-KP bổ sung có mục tiêu</t>
  </si>
  <si>
    <t>-KP chi trả chế độ cho người có công</t>
  </si>
  <si>
    <t>Dự toán HĐND xã giao</t>
  </si>
  <si>
    <t>So sánh (%) QT/ DT 
Huyện giao</t>
  </si>
  <si>
    <t>So sánh (%) QT/DT
 HĐND xã</t>
  </si>
  <si>
    <t>11= 5/2</t>
  </si>
  <si>
    <t>12= 6/3</t>
  </si>
  <si>
    <t>13= 7/4</t>
  </si>
  <si>
    <t>Thu NSX 
huyện giao</t>
  </si>
  <si>
    <t>Thu NSX
 HĐND xã giao</t>
  </si>
  <si>
    <t>Kinh phí thực hiện chế độ chính sách theo Quyết định số 593/QĐ -UBND ngày 9/3/2022</t>
  </si>
  <si>
    <t>TỔNG HỢP CÁC DỰ ÁN BỐ TRÍ TỪ NGUỒN SỬ DỤNG ĐẤT CẤP XÃ, THỊ TRẤN</t>
  </si>
  <si>
    <t>Đvt: triệu đồng</t>
  </si>
  <si>
    <t>Stt</t>
  </si>
  <si>
    <t>Danh mục dự án</t>
  </si>
  <si>
    <t>Lĩnh vực (* đánh số từ 1 đến 6 theo note)</t>
  </si>
  <si>
    <t>Tổng mức đầu tư</t>
  </si>
  <si>
    <t>Luỹ kế bố trí vốn đến cuối năm 2022</t>
  </si>
  <si>
    <t>Trong đó Bố trí vốn năm 2022</t>
  </si>
  <si>
    <t>Luỹ kế giải ngân đến cuối năm 2022</t>
  </si>
  <si>
    <t>Trong đó giải ngân năm 2022</t>
  </si>
  <si>
    <t>Nợ XDCB  đến 31/12/2022</t>
  </si>
  <si>
    <t>Ghi chú</t>
  </si>
  <si>
    <t>Trong đó tiền sử dụng đất theo KH</t>
  </si>
  <si>
    <t>Kp chuyển nguồn năm 2021 sang</t>
  </si>
  <si>
    <t>Trong đó tiền vượt thu</t>
  </si>
  <si>
    <t>Tổng cộng</t>
  </si>
  <si>
    <t>I.1</t>
  </si>
  <si>
    <t xml:space="preserve">Các công trình đã phê duyệt quyết toán </t>
  </si>
  <si>
    <t xml:space="preserve"> </t>
  </si>
  <si>
    <t>Chợ Nịu xã Quảng Thái</t>
  </si>
  <si>
    <t>Đường kết hợp với đê đoạn từ nhà bà Đầm( Thôn Lai Hà) đến đê tây Phá Tam Giang, xã Quảng Thái.</t>
  </si>
  <si>
    <t>Mái che xung quanh chợ, nền mái che và đường chính đi vào chợ Nịu</t>
  </si>
  <si>
    <t>Đường từ nhà Ông Cẩn đến nhà Ông Tuân ( Trằm Ngang) xã Quản Thái</t>
  </si>
  <si>
    <t>Xây mới hàng rào mặt bên và mặt sau trường THCS Lê Xuân, xã Quảng Thái</t>
  </si>
  <si>
    <t>Trường Tiểu học Quảng Thái</t>
  </si>
  <si>
    <t>Đài Truyền Thanh xã Quảng Thái</t>
  </si>
  <si>
    <t>I.2</t>
  </si>
  <si>
    <t>Các Công trình khởi công mới năm 2022</t>
  </si>
  <si>
    <t>Duy tu bảo dưỡng đường trục thôn số 03 từ nhà ông Sĩ đến nhà bà Sáu</t>
  </si>
  <si>
    <t>Đường Kênh Mới 1</t>
  </si>
  <si>
    <t>Đường Trục thôn đoạn Nhà Ông Mỹ Tây Hoàng đến nhà ông Hồ Thúc Khương - Trung Kiều</t>
  </si>
  <si>
    <t>Đường từ cầu Nam Giảng đến nhà ông Vinh</t>
  </si>
  <si>
    <t>Đổ đất sau trường Mầm non</t>
  </si>
  <si>
    <t>Chỉnh trang sân vườn Ủy ban nhân dân,, Nhà Văn Hóa xã Quảng Thái.</t>
  </si>
  <si>
    <t xml:space="preserve">Duy tu bảo dưỡng đường trục thôn số 02 từ bà Lựu đến dóc nhà Bà Bế </t>
  </si>
  <si>
    <t>Đường từ nhà ông Tuân đến nhà bà Vưỡn</t>
  </si>
  <si>
    <t>Đường nội bộ khu Dân cư Đông Hồ sau lưng Quán Điểm Hẹn</t>
  </si>
  <si>
    <t>Đường nội đồng từ Gia Quảng đến xóm 7 Lai Hà</t>
  </si>
  <si>
    <t>Tường rào trường Tiểu học Quảng Thái- CS Đông Hồ</t>
  </si>
  <si>
    <t>Công trình điện chiếu sáng khu trung tâm xã</t>
  </si>
  <si>
    <t>Nâng cấp nền và hệ thống thoát nươc, xử lý môi trường Khu tự tiêu tự sản chợ Nịu</t>
  </si>
  <si>
    <t>Bê tông hóa tuyến đường chợ Nịu 1</t>
  </si>
  <si>
    <t>Đường trường Tiểu học ( từ TL4 đến nhà bà Gấm)</t>
  </si>
  <si>
    <t>Đường trục thôn từ ông Phan Cơ đến ông Trần Ẩn</t>
  </si>
  <si>
    <t>Đường trục thôn từ ông Văn Thêm đến Hồ Mùi</t>
  </si>
  <si>
    <t>Duy tu bão dưỡng đường trục thôn Trằm Ngang ( từ nhà ông Trần Duy đến nhà Ông Lãm)</t>
  </si>
  <si>
    <t>Đường bê tông khu quy hoạch phố chợ</t>
  </si>
  <si>
    <t>Đường Trục thôn Lai Hà, từ bà sáu đến Âu Thuyền</t>
  </si>
  <si>
    <t>Quy hoạch chung</t>
  </si>
  <si>
    <t>Hệ thống điện chiếu sáng trung tâm xã (GĐ 2)</t>
  </si>
  <si>
    <t>II</t>
  </si>
  <si>
    <t>Đối ứng các công trình thuộc NS huyện, Tỉnh</t>
  </si>
  <si>
    <t>Đối ứng Nhà làm việt kết hợp Trung tâm 1 cửa</t>
  </si>
  <si>
    <t>Hỗ trợ chỉnh trang khuôn viên Nhà văn hóa các thôn</t>
  </si>
  <si>
    <t xml:space="preserve">Nâng cấp mở rộng đường trục thôn Trằm Ngang xã Quảng Thái(GIAI ĐOẠN 1): 
</t>
  </si>
  <si>
    <t xml:space="preserve">Nâng cấp mở rộng đường trục thôn Tây Hoàng xã Quảng Thái(GIAI ĐOẠN 1): 
</t>
  </si>
  <si>
    <t>Hệ thống thoát nước chợ Quảng Thái:</t>
  </si>
  <si>
    <t>Cải tạo, nâng cấp, sửa chữa trường THCS Lê Xuân, hạng mục Cải tạo mái tôn khối nhà 2 tầng bên phải, nhà đoàn thể, nhà vệ sinh và làm cầu nối</t>
  </si>
  <si>
    <t>Tuyến mương tách nước cho Trạm
 bơm Lai Hà, xã Quảng Thái</t>
  </si>
  <si>
    <t>IV</t>
  </si>
  <si>
    <t>Chi kinh phí mang tính chất TX</t>
  </si>
  <si>
    <t>Hỗ trợ xi măng</t>
  </si>
  <si>
    <t>Chủ Tịch</t>
  </si>
  <si>
    <t>Kế Toán</t>
  </si>
  <si>
    <t>(Ký tên và đóng dấu)</t>
  </si>
  <si>
    <t>Hoàng Thị Kim Ngân</t>
  </si>
  <si>
    <t>Phạm Công Phước</t>
  </si>
  <si>
    <t>(Kèm theo Quyết định số         /QĐ-UBND ngày  01 tháng 08 năm 2023 của UBND xã Quảng Thái)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</si>
</sst>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_-;\-* #,##0.0_-;_-* &quot;-&quot;??_-;_-@_-"/>
    <numFmt numFmtId="177" formatCode="_-* #,##0_-;\-* #,##0_-;_-* &quot;-&quot;??_-;_-@_-"/>
    <numFmt numFmtId="178" formatCode="_(* #,##0_);_(* \(#,##0\);_(* &quot;-&quot;??_);_(@_)"/>
    <numFmt numFmtId="179" formatCode="0.00000"/>
    <numFmt numFmtId="180" formatCode="0.0000"/>
    <numFmt numFmtId="181" formatCode="0.000"/>
    <numFmt numFmtId="182" formatCode="0.0"/>
    <numFmt numFmtId="183" formatCode="_-* #,##0\ _F_-;\-* #,##0\ _F_-;_-* &quot;-&quot;??\ _F_-;_-@_-"/>
    <numFmt numFmtId="184" formatCode="_-* #,##0.000_-;\-* #,##0.000_-;_-* &quot;-&quot;??_-;_-@_-"/>
    <numFmt numFmtId="185" formatCode="_-* #,##0\ _₫_-;\-* #,##0\ _₫_-;_-* &quot;-&quot;&quot;?&quot;&quot;?&quot;\ _₫_-;_-@_-"/>
    <numFmt numFmtId="186" formatCode="_-* #,##0.000_-;\-* #,##0.000_-;_-* &quot;-&quot;???_-;_-@_-"/>
    <numFmt numFmtId="187" formatCode="&quot;$&quot;#,##0;[Red]\-&quot;$&quot;#,##0"/>
    <numFmt numFmtId="188" formatCode="_(* #,##0.000_);_(* \(#,##0.000\);_(* &quot;-&quot;??_);_(@_)"/>
    <numFmt numFmtId="189" formatCode="#,##0;[Red]#,##0"/>
    <numFmt numFmtId="190" formatCode="#,##0.0"/>
    <numFmt numFmtId="191" formatCode="_(* #,##0.000_);_(* \(#,##0.000\);_(* &quot;-&quot;???_);_(@_)"/>
    <numFmt numFmtId="192" formatCode="_-* #,##0.0000_-;\-* #,##0.0000_-;_-* &quot;-&quot;??_-;_-@_-"/>
    <numFmt numFmtId="193" formatCode="_-* #,##0\ _đ_-;\-* #,##0\ _đ_-;_-* &quot;-&quot;??\ _đ_-;_-@_-"/>
    <numFmt numFmtId="194" formatCode="_(* #,##0.0_);_(* \(#,##0.0\);_(* &quot;-&quot;??_);_(@_)"/>
    <numFmt numFmtId="195" formatCode="0.000000"/>
  </numFmts>
  <fonts count="84">
    <font>
      <sz val="14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u val="single"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1"/>
      <name val="VNtimes new roman"/>
      <family val="2"/>
    </font>
    <font>
      <sz val="10"/>
      <name val="Helv"/>
      <family val="2"/>
    </font>
    <font>
      <sz val="14"/>
      <name val=".VnTime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6" fontId="15" fillId="0" borderId="0" applyFont="0" applyFill="0" applyBorder="0" applyAlignment="0" applyProtection="0"/>
    <xf numFmtId="41" fontId="5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8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177" fontId="2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177" fontId="9" fillId="0" borderId="0" xfId="42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78" fontId="9" fillId="0" borderId="0" xfId="42" applyNumberFormat="1" applyFont="1" applyFill="1" applyBorder="1" applyAlignment="1">
      <alignment horizontal="center"/>
    </xf>
    <xf numFmtId="3" fontId="72" fillId="0" borderId="10" xfId="66" applyNumberFormat="1" applyFont="1" applyFill="1" applyBorder="1" applyAlignment="1">
      <alignment horizontal="right" vertical="center"/>
      <protection/>
    </xf>
    <xf numFmtId="178" fontId="72" fillId="0" borderId="10" xfId="42" applyNumberFormat="1" applyFont="1" applyFill="1" applyBorder="1" applyAlignment="1">
      <alignment horizontal="right" vertical="center"/>
    </xf>
    <xf numFmtId="0" fontId="73" fillId="0" borderId="0" xfId="0" applyFont="1" applyFill="1" applyAlignment="1">
      <alignment/>
    </xf>
    <xf numFmtId="178" fontId="72" fillId="0" borderId="10" xfId="42" applyNumberFormat="1" applyFont="1" applyFill="1" applyBorder="1" applyAlignment="1">
      <alignment horizontal="center" vertical="center"/>
    </xf>
    <xf numFmtId="178" fontId="73" fillId="0" borderId="10" xfId="42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178" fontId="73" fillId="0" borderId="10" xfId="42" applyNumberFormat="1" applyFont="1" applyFill="1" applyBorder="1" applyAlignment="1">
      <alignment horizontal="right" vertical="center"/>
    </xf>
    <xf numFmtId="0" fontId="73" fillId="0" borderId="0" xfId="0" applyFont="1" applyFill="1" applyAlignment="1">
      <alignment/>
    </xf>
    <xf numFmtId="178" fontId="73" fillId="0" borderId="10" xfId="42" applyNumberFormat="1" applyFont="1" applyFill="1" applyBorder="1" applyAlignment="1">
      <alignment horizontal="left" vertical="center" wrapText="1"/>
    </xf>
    <xf numFmtId="177" fontId="72" fillId="0" borderId="0" xfId="0" applyNumberFormat="1" applyFont="1" applyFill="1" applyAlignment="1">
      <alignment/>
    </xf>
    <xf numFmtId="0" fontId="72" fillId="0" borderId="10" xfId="0" applyFont="1" applyFill="1" applyBorder="1" applyAlignment="1">
      <alignment vertical="center" wrapText="1"/>
    </xf>
    <xf numFmtId="177" fontId="2" fillId="0" borderId="0" xfId="42" applyNumberFormat="1" applyFont="1" applyAlignment="1">
      <alignment/>
    </xf>
    <xf numFmtId="0" fontId="3" fillId="0" borderId="0" xfId="0" applyFont="1" applyAlignment="1">
      <alignment horizontal="center"/>
    </xf>
    <xf numFmtId="177" fontId="11" fillId="0" borderId="0" xfId="0" applyNumberFormat="1" applyFont="1" applyFill="1" applyAlignment="1">
      <alignment/>
    </xf>
    <xf numFmtId="177" fontId="10" fillId="0" borderId="0" xfId="0" applyNumberFormat="1" applyFont="1" applyFill="1" applyAlignment="1">
      <alignment/>
    </xf>
    <xf numFmtId="177" fontId="72" fillId="0" borderId="0" xfId="42" applyNumberFormat="1" applyFont="1" applyFill="1" applyAlignment="1">
      <alignment/>
    </xf>
    <xf numFmtId="177" fontId="2" fillId="0" borderId="0" xfId="42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3" fontId="73" fillId="0" borderId="0" xfId="0" applyNumberFormat="1" applyFont="1" applyFill="1" applyAlignment="1">
      <alignment/>
    </xf>
    <xf numFmtId="3" fontId="73" fillId="0" borderId="10" xfId="66" applyNumberFormat="1" applyFont="1" applyFill="1" applyBorder="1" applyAlignment="1">
      <alignment horizontal="right" vertical="center"/>
      <protection/>
    </xf>
    <xf numFmtId="0" fontId="72" fillId="0" borderId="10" xfId="0" applyFont="1" applyFill="1" applyBorder="1" applyAlignment="1" quotePrefix="1">
      <alignment vertical="center" wrapText="1"/>
    </xf>
    <xf numFmtId="177" fontId="73" fillId="0" borderId="10" xfId="42" applyNumberFormat="1" applyFont="1" applyFill="1" applyBorder="1" applyAlignment="1">
      <alignment vertical="center"/>
    </xf>
    <xf numFmtId="3" fontId="72" fillId="0" borderId="10" xfId="42" applyNumberFormat="1" applyFont="1" applyFill="1" applyBorder="1" applyAlignment="1">
      <alignment vertical="center"/>
    </xf>
    <xf numFmtId="177" fontId="72" fillId="0" borderId="10" xfId="42" applyNumberFormat="1" applyFont="1" applyFill="1" applyBorder="1" applyAlignment="1">
      <alignment horizontal="center" vertical="center"/>
    </xf>
    <xf numFmtId="177" fontId="72" fillId="0" borderId="10" xfId="42" applyNumberFormat="1" applyFont="1" applyFill="1" applyBorder="1" applyAlignment="1">
      <alignment vertical="center"/>
    </xf>
    <xf numFmtId="0" fontId="73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7" fontId="2" fillId="0" borderId="10" xfId="42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77" fontId="8" fillId="0" borderId="10" xfId="42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quotePrefix="1">
      <alignment vertical="center"/>
    </xf>
    <xf numFmtId="177" fontId="9" fillId="0" borderId="10" xfId="42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177" fontId="14" fillId="0" borderId="10" xfId="42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 quotePrefix="1">
      <alignment vertical="center" wrapText="1"/>
    </xf>
    <xf numFmtId="0" fontId="10" fillId="0" borderId="10" xfId="0" applyFont="1" applyFill="1" applyBorder="1" applyAlignment="1" quotePrefix="1">
      <alignment vertical="center"/>
    </xf>
    <xf numFmtId="177" fontId="74" fillId="0" borderId="10" xfId="42" applyNumberFormat="1" applyFont="1" applyFill="1" applyBorder="1" applyAlignment="1">
      <alignment vertical="center"/>
    </xf>
    <xf numFmtId="177" fontId="75" fillId="0" borderId="10" xfId="42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177" fontId="73" fillId="0" borderId="10" xfId="0" applyNumberFormat="1" applyFont="1" applyFill="1" applyBorder="1" applyAlignment="1">
      <alignment horizontal="center" vertical="center"/>
    </xf>
    <xf numFmtId="3" fontId="73" fillId="0" borderId="10" xfId="42" applyNumberFormat="1" applyFont="1" applyFill="1" applyBorder="1" applyAlignment="1">
      <alignment vertical="center"/>
    </xf>
    <xf numFmtId="3" fontId="73" fillId="0" borderId="10" xfId="42" applyNumberFormat="1" applyFont="1" applyFill="1" applyBorder="1" applyAlignment="1">
      <alignment horizontal="right" vertical="center"/>
    </xf>
    <xf numFmtId="3" fontId="73" fillId="0" borderId="10" xfId="0" applyNumberFormat="1" applyFont="1" applyFill="1" applyBorder="1" applyAlignment="1">
      <alignment horizontal="right" vertical="center"/>
    </xf>
    <xf numFmtId="3" fontId="72" fillId="0" borderId="10" xfId="0" applyNumberFormat="1" applyFont="1" applyFill="1" applyBorder="1" applyAlignment="1">
      <alignment vertical="center"/>
    </xf>
    <xf numFmtId="0" fontId="73" fillId="0" borderId="10" xfId="0" applyFont="1" applyFill="1" applyBorder="1" applyAlignment="1">
      <alignment vertical="center"/>
    </xf>
    <xf numFmtId="178" fontId="72" fillId="0" borderId="10" xfId="42" applyNumberFormat="1" applyFont="1" applyFill="1" applyBorder="1" applyAlignment="1">
      <alignment vertical="center"/>
    </xf>
    <xf numFmtId="14" fontId="72" fillId="0" borderId="10" xfId="66" applyNumberFormat="1" applyFont="1" applyFill="1" applyBorder="1" applyAlignment="1" quotePrefix="1">
      <alignment horizontal="center" vertical="center"/>
      <protection/>
    </xf>
    <xf numFmtId="3" fontId="72" fillId="0" borderId="10" xfId="0" applyNumberFormat="1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/>
    </xf>
    <xf numFmtId="177" fontId="73" fillId="0" borderId="0" xfId="0" applyNumberFormat="1" applyFont="1" applyFill="1" applyAlignment="1">
      <alignment/>
    </xf>
    <xf numFmtId="0" fontId="72" fillId="0" borderId="10" xfId="0" applyFont="1" applyFill="1" applyBorder="1" applyAlignment="1" quotePrefix="1">
      <alignment vertical="center"/>
    </xf>
    <xf numFmtId="178" fontId="8" fillId="0" borderId="10" xfId="42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vertical="center" wrapText="1"/>
    </xf>
    <xf numFmtId="0" fontId="73" fillId="0" borderId="10" xfId="0" applyFont="1" applyFill="1" applyBorder="1" applyAlignment="1" quotePrefix="1">
      <alignment vertical="center"/>
    </xf>
    <xf numFmtId="0" fontId="76" fillId="0" borderId="10" xfId="0" applyFont="1" applyFill="1" applyBorder="1" applyAlignment="1">
      <alignment horizontal="center"/>
    </xf>
    <xf numFmtId="0" fontId="77" fillId="0" borderId="11" xfId="0" applyFont="1" applyFill="1" applyBorder="1" applyAlignment="1">
      <alignment/>
    </xf>
    <xf numFmtId="0" fontId="77" fillId="0" borderId="0" xfId="0" applyFont="1" applyFill="1" applyAlignment="1">
      <alignment/>
    </xf>
    <xf numFmtId="0" fontId="72" fillId="0" borderId="10" xfId="66" applyNumberFormat="1" applyFont="1" applyFill="1" applyBorder="1" applyAlignment="1" quotePrefix="1">
      <alignment horizontal="left" vertical="center" wrapText="1"/>
      <protection/>
    </xf>
    <xf numFmtId="0" fontId="73" fillId="0" borderId="10" xfId="0" applyFont="1" applyFill="1" applyBorder="1" applyAlignment="1" quotePrefix="1">
      <alignment horizontal="left" vertical="center" wrapText="1"/>
    </xf>
    <xf numFmtId="0" fontId="73" fillId="0" borderId="10" xfId="66" applyNumberFormat="1" applyFont="1" applyFill="1" applyBorder="1" applyAlignment="1" quotePrefix="1">
      <alignment horizontal="left" vertical="center" wrapText="1"/>
      <protection/>
    </xf>
    <xf numFmtId="3" fontId="73" fillId="0" borderId="10" xfId="0" applyNumberFormat="1" applyFont="1" applyFill="1" applyBorder="1" applyAlignment="1" quotePrefix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177" fontId="9" fillId="0" borderId="10" xfId="42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/>
    </xf>
    <xf numFmtId="171" fontId="76" fillId="0" borderId="10" xfId="42" applyFont="1" applyFill="1" applyBorder="1" applyAlignment="1">
      <alignment horizontal="center"/>
    </xf>
    <xf numFmtId="171" fontId="73" fillId="0" borderId="10" xfId="42" applyFont="1" applyFill="1" applyBorder="1" applyAlignment="1">
      <alignment horizontal="center" vertical="center"/>
    </xf>
    <xf numFmtId="171" fontId="72" fillId="0" borderId="10" xfId="42" applyFont="1" applyFill="1" applyBorder="1" applyAlignment="1">
      <alignment horizontal="center" vertical="center"/>
    </xf>
    <xf numFmtId="171" fontId="72" fillId="0" borderId="10" xfId="42" applyFont="1" applyFill="1" applyBorder="1" applyAlignment="1">
      <alignment vertical="center"/>
    </xf>
    <xf numFmtId="171" fontId="73" fillId="0" borderId="10" xfId="42" applyFont="1" applyFill="1" applyBorder="1" applyAlignment="1">
      <alignment vertical="center"/>
    </xf>
    <xf numFmtId="171" fontId="72" fillId="0" borderId="0" xfId="42" applyFont="1" applyFill="1" applyAlignment="1">
      <alignment/>
    </xf>
    <xf numFmtId="171" fontId="73" fillId="0" borderId="0" xfId="42" applyFont="1" applyFill="1" applyAlignment="1">
      <alignment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/>
    </xf>
    <xf numFmtId="171" fontId="8" fillId="0" borderId="10" xfId="42" applyFont="1" applyFill="1" applyBorder="1" applyAlignment="1">
      <alignment horizontal="center" vertical="center"/>
    </xf>
    <xf numFmtId="171" fontId="10" fillId="0" borderId="10" xfId="42" applyFont="1" applyFill="1" applyBorder="1" applyAlignment="1">
      <alignment/>
    </xf>
    <xf numFmtId="171" fontId="9" fillId="0" borderId="10" xfId="42" applyFont="1" applyFill="1" applyBorder="1" applyAlignment="1">
      <alignment horizontal="center" vertical="center"/>
    </xf>
    <xf numFmtId="171" fontId="11" fillId="0" borderId="10" xfId="42" applyFont="1" applyFill="1" applyBorder="1" applyAlignment="1">
      <alignment/>
    </xf>
    <xf numFmtId="0" fontId="73" fillId="0" borderId="10" xfId="0" applyFont="1" applyFill="1" applyBorder="1" applyAlignment="1">
      <alignment horizontal="center"/>
    </xf>
    <xf numFmtId="171" fontId="73" fillId="0" borderId="10" xfId="42" applyFont="1" applyFill="1" applyBorder="1" applyAlignment="1">
      <alignment horizontal="center"/>
    </xf>
    <xf numFmtId="171" fontId="73" fillId="0" borderId="12" xfId="42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9" fontId="10" fillId="0" borderId="1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9" fontId="10" fillId="0" borderId="16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71" fontId="72" fillId="0" borderId="0" xfId="42" applyFont="1" applyFill="1" applyAlignment="1">
      <alignment horizontal="center"/>
    </xf>
    <xf numFmtId="171" fontId="78" fillId="0" borderId="15" xfId="42" applyFont="1" applyFill="1" applyBorder="1" applyAlignment="1">
      <alignment horizontal="center" vertical="center"/>
    </xf>
    <xf numFmtId="171" fontId="73" fillId="0" borderId="10" xfId="42" applyFont="1" applyFill="1" applyBorder="1" applyAlignment="1">
      <alignment horizontal="center" wrapText="1"/>
    </xf>
    <xf numFmtId="171" fontId="73" fillId="0" borderId="10" xfId="42" applyFont="1" applyFill="1" applyBorder="1" applyAlignment="1">
      <alignment horizontal="center"/>
    </xf>
    <xf numFmtId="171" fontId="73" fillId="0" borderId="13" xfId="42" applyFont="1" applyFill="1" applyBorder="1" applyAlignment="1">
      <alignment horizontal="center" vertical="center" wrapText="1"/>
    </xf>
    <xf numFmtId="171" fontId="73" fillId="0" borderId="12" xfId="42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/>
    </xf>
    <xf numFmtId="0" fontId="73" fillId="0" borderId="10" xfId="0" applyFont="1" applyFill="1" applyBorder="1" applyAlignment="1">
      <alignment horizontal="center"/>
    </xf>
    <xf numFmtId="43" fontId="11" fillId="0" borderId="0" xfId="0" applyNumberFormat="1" applyFont="1" applyFill="1" applyAlignment="1">
      <alignment/>
    </xf>
    <xf numFmtId="184" fontId="11" fillId="0" borderId="0" xfId="42" applyNumberFormat="1" applyFont="1" applyFill="1" applyAlignment="1">
      <alignment/>
    </xf>
    <xf numFmtId="184" fontId="12" fillId="0" borderId="0" xfId="42" applyNumberFormat="1" applyFont="1" applyFill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184" fontId="10" fillId="0" borderId="10" xfId="42" applyNumberFormat="1" applyFont="1" applyFill="1" applyBorder="1" applyAlignment="1">
      <alignment horizontal="center" vertical="center" wrapText="1"/>
    </xf>
    <xf numFmtId="184" fontId="10" fillId="0" borderId="13" xfId="42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84" fontId="10" fillId="0" borderId="10" xfId="42" applyNumberFormat="1" applyFont="1" applyFill="1" applyBorder="1" applyAlignment="1">
      <alignment horizontal="center" vertical="center" wrapText="1"/>
    </xf>
    <xf numFmtId="184" fontId="10" fillId="0" borderId="12" xfId="42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84" fontId="10" fillId="0" borderId="12" xfId="42" applyNumberFormat="1" applyFont="1" applyFill="1" applyBorder="1" applyAlignment="1">
      <alignment horizontal="center" vertical="center" wrapText="1"/>
    </xf>
    <xf numFmtId="43" fontId="10" fillId="0" borderId="0" xfId="0" applyNumberFormat="1" applyFont="1" applyFill="1" applyAlignment="1">
      <alignment/>
    </xf>
    <xf numFmtId="0" fontId="73" fillId="0" borderId="10" xfId="0" applyFont="1" applyFill="1" applyBorder="1" applyAlignment="1">
      <alignment horizontal="left" vertical="center" wrapText="1"/>
    </xf>
    <xf numFmtId="184" fontId="79" fillId="0" borderId="10" xfId="42" applyNumberFormat="1" applyFont="1" applyFill="1" applyBorder="1" applyAlignment="1">
      <alignment vertical="center" wrapText="1"/>
    </xf>
    <xf numFmtId="184" fontId="80" fillId="0" borderId="10" xfId="42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65" applyFont="1" applyFill="1" applyBorder="1" applyAlignment="1">
      <alignment vertical="center" wrapText="1"/>
      <protection/>
    </xf>
    <xf numFmtId="177" fontId="79" fillId="0" borderId="10" xfId="42" applyNumberFormat="1" applyFont="1" applyFill="1" applyBorder="1" applyAlignment="1">
      <alignment vertical="center" wrapText="1"/>
    </xf>
    <xf numFmtId="171" fontId="79" fillId="0" borderId="10" xfId="42" applyFont="1" applyFill="1" applyBorder="1" applyAlignment="1">
      <alignment vertical="center" wrapText="1"/>
    </xf>
    <xf numFmtId="171" fontId="11" fillId="0" borderId="10" xfId="0" applyNumberFormat="1" applyFont="1" applyFill="1" applyBorder="1" applyAlignment="1">
      <alignment horizontal="center" vertical="center" wrapText="1"/>
    </xf>
    <xf numFmtId="171" fontId="11" fillId="0" borderId="12" xfId="0" applyNumberFormat="1" applyFont="1" applyFill="1" applyBorder="1" applyAlignment="1">
      <alignment horizontal="center" vertical="center" wrapText="1"/>
    </xf>
    <xf numFmtId="184" fontId="11" fillId="0" borderId="10" xfId="42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 quotePrefix="1">
      <alignment horizontal="center" vertical="center" wrapText="1"/>
    </xf>
    <xf numFmtId="185" fontId="72" fillId="0" borderId="10" xfId="44" applyNumberFormat="1" applyFont="1" applyFill="1" applyBorder="1" applyAlignment="1">
      <alignment horizontal="left" vertical="center" wrapText="1"/>
    </xf>
    <xf numFmtId="3" fontId="79" fillId="0" borderId="10" xfId="62" applyNumberFormat="1" applyFont="1" applyFill="1" applyBorder="1" applyAlignment="1">
      <alignment vertical="center" wrapText="1"/>
      <protection/>
    </xf>
    <xf numFmtId="177" fontId="79" fillId="0" borderId="10" xfId="62" applyNumberFormat="1" applyFont="1" applyFill="1" applyBorder="1" applyAlignment="1">
      <alignment vertical="center" wrapText="1"/>
      <protection/>
    </xf>
    <xf numFmtId="0" fontId="79" fillId="0" borderId="10" xfId="0" applyFont="1" applyFill="1" applyBorder="1" applyAlignment="1">
      <alignment vertical="center" wrapText="1"/>
    </xf>
    <xf numFmtId="177" fontId="79" fillId="0" borderId="10" xfId="0" applyNumberFormat="1" applyFont="1" applyFill="1" applyBorder="1" applyAlignment="1">
      <alignment vertical="center" wrapText="1"/>
    </xf>
    <xf numFmtId="170" fontId="81" fillId="0" borderId="10" xfId="46" applyNumberFormat="1" applyFont="1" applyFill="1" applyBorder="1" applyAlignment="1">
      <alignment vertical="center" wrapText="1"/>
    </xf>
    <xf numFmtId="177" fontId="81" fillId="0" borderId="10" xfId="46" applyNumberFormat="1" applyFont="1" applyFill="1" applyBorder="1" applyAlignment="1">
      <alignment vertical="center" wrapText="1"/>
    </xf>
    <xf numFmtId="171" fontId="81" fillId="0" borderId="10" xfId="42" applyFont="1" applyFill="1" applyBorder="1" applyAlignment="1">
      <alignment vertical="center" wrapText="1"/>
    </xf>
    <xf numFmtId="171" fontId="81" fillId="0" borderId="10" xfId="46" applyNumberFormat="1" applyFont="1" applyFill="1" applyBorder="1" applyAlignment="1">
      <alignment vertical="center" wrapText="1"/>
    </xf>
    <xf numFmtId="171" fontId="81" fillId="0" borderId="12" xfId="46" applyNumberFormat="1" applyFont="1" applyFill="1" applyBorder="1" applyAlignment="1">
      <alignment vertical="center" wrapText="1"/>
    </xf>
    <xf numFmtId="184" fontId="81" fillId="0" borderId="10" xfId="42" applyNumberFormat="1" applyFont="1" applyFill="1" applyBorder="1" applyAlignment="1">
      <alignment vertical="center" wrapText="1"/>
    </xf>
    <xf numFmtId="0" fontId="72" fillId="0" borderId="10" xfId="62" applyFont="1" applyFill="1" applyBorder="1" applyAlignment="1">
      <alignment vertical="center" wrapText="1"/>
      <protection/>
    </xf>
    <xf numFmtId="3" fontId="82" fillId="0" borderId="10" xfId="62" applyNumberFormat="1" applyFont="1" applyFill="1" applyBorder="1" applyAlignment="1">
      <alignment vertical="center" wrapText="1"/>
      <protection/>
    </xf>
    <xf numFmtId="177" fontId="82" fillId="0" borderId="10" xfId="62" applyNumberFormat="1" applyFont="1" applyFill="1" applyBorder="1" applyAlignment="1">
      <alignment vertical="center" wrapText="1"/>
      <protection/>
    </xf>
    <xf numFmtId="0" fontId="73" fillId="0" borderId="10" xfId="65" applyFont="1" applyFill="1" applyBorder="1" applyAlignment="1">
      <alignment vertical="center" wrapText="1"/>
      <protection/>
    </xf>
    <xf numFmtId="3" fontId="81" fillId="0" borderId="10" xfId="62" applyNumberFormat="1" applyFont="1" applyFill="1" applyBorder="1" applyAlignment="1">
      <alignment vertical="center" wrapText="1"/>
      <protection/>
    </xf>
    <xf numFmtId="0" fontId="72" fillId="0" borderId="0" xfId="0" applyFont="1" applyFill="1" applyAlignment="1">
      <alignment wrapText="1"/>
    </xf>
    <xf numFmtId="177" fontId="79" fillId="0" borderId="10" xfId="46" applyNumberFormat="1" applyFont="1" applyFill="1" applyBorder="1" applyAlignment="1">
      <alignment vertical="center" wrapText="1"/>
    </xf>
    <xf numFmtId="0" fontId="72" fillId="0" borderId="10" xfId="64" applyFont="1" applyFill="1" applyBorder="1" applyAlignment="1">
      <alignment horizontal="left" vertical="center" wrapText="1"/>
      <protection/>
    </xf>
    <xf numFmtId="0" fontId="72" fillId="0" borderId="10" xfId="0" applyFont="1" applyFill="1" applyBorder="1" applyAlignment="1">
      <alignment wrapText="1"/>
    </xf>
    <xf numFmtId="0" fontId="73" fillId="0" borderId="10" xfId="0" applyFont="1" applyFill="1" applyBorder="1" applyAlignment="1">
      <alignment/>
    </xf>
    <xf numFmtId="171" fontId="10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/>
    </xf>
    <xf numFmtId="178" fontId="49" fillId="0" borderId="10" xfId="45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178" fontId="8" fillId="0" borderId="10" xfId="45" applyNumberFormat="1" applyFont="1" applyFill="1" applyBorder="1" applyAlignment="1">
      <alignment/>
    </xf>
    <xf numFmtId="178" fontId="8" fillId="0" borderId="10" xfId="42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76" fontId="11" fillId="0" borderId="10" xfId="42" applyNumberFormat="1" applyFont="1" applyFill="1" applyBorder="1" applyAlignment="1">
      <alignment horizontal="center" vertical="center" wrapText="1"/>
    </xf>
    <xf numFmtId="184" fontId="4" fillId="0" borderId="0" xfId="42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84" fontId="50" fillId="0" borderId="0" xfId="42" applyNumberFormat="1" applyFont="1" applyFill="1" applyAlignment="1">
      <alignment horizontal="center"/>
    </xf>
    <xf numFmtId="184" fontId="2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2" xfId="61"/>
    <cellStyle name="Normal 2 3" xfId="62"/>
    <cellStyle name="Normal 3" xfId="63"/>
    <cellStyle name="Normal_Bao cao thang 5" xfId="64"/>
    <cellStyle name="Normal_mau bieu bao cao cac đơn vị" xfId="65"/>
    <cellStyle name="Normal_Sheet1" xfId="66"/>
    <cellStyle name="Note" xfId="67"/>
    <cellStyle name="Output" xfId="68"/>
    <cellStyle name="Percent" xfId="69"/>
    <cellStyle name="Style 1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Zalo%20Received%20Files\QUY&#7870;T%20TO&#193;N%20NSX%20N&#258;M%202022%20QU&#7842;NG%20TH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l do thi"/>
      <sheetName val="GIAM SAT CONG DONG het"/>
      <sheetName val="qpan"/>
      <sheetName val="DỰ BỊ PHÍ "/>
      <sheetName val="BAN THANH TRA NHÂN DÂN het"/>
      <sheetName val="ĐÀO TẠO CÁN BỘ"/>
      <sheetName val="HĐ CÔNG VỤ, ĐẢNG, QLNN, ĐTHỂ "/>
      <sheetName val="HOẠT ĐỘNG CT ĐẢNG THEO NĐ99 "/>
      <sheetName val="Moi truong"/>
      <sheetName val="SNKT"/>
      <sheetName val="ĐÀI TRUYỀN THANH "/>
      <sheetName val="SN VHTT het"/>
      <sheetName val="TDTT  hết "/>
      <sheetName val="CÔNG TÁC HÒA GIẢI CƠ SỞ"/>
      <sheetName val="CHI KHÁC  het"/>
      <sheetName val="chuyen nguon2022 sang"/>
      <sheetName val="CHUYEN NGUON"/>
      <sheetName val="covid"/>
      <sheetName val="SNYT"/>
      <sheetName val="tien dat theo thang"/>
      <sheetName val="TIỀN ĐẤT  "/>
      <sheetName val="ĐẢM BẢO XÃ HỘI"/>
      <sheetName val="Sheet1"/>
      <sheetName val="BSCMT"/>
      <sheetName val="Chi tiet TX2"/>
      <sheetName val="QUỸ LƯƠNG, PHỤ CẤP THEO LƯƠNG"/>
      <sheetName val="chi tiet lg"/>
      <sheetName val="CHI HOI"/>
      <sheetName val="LUẬT DQTV VÀ CÔNG AN "/>
    </sheetNames>
    <sheetDataSet>
      <sheetData sheetId="5">
        <row r="7">
          <cell r="C7">
            <v>43775000</v>
          </cell>
        </row>
      </sheetData>
      <sheetData sheetId="9">
        <row r="9">
          <cell r="C9">
            <v>61899909</v>
          </cell>
        </row>
        <row r="10">
          <cell r="C10">
            <v>7000000</v>
          </cell>
        </row>
      </sheetData>
      <sheetData sheetId="10">
        <row r="7">
          <cell r="C7">
            <v>29590500</v>
          </cell>
        </row>
        <row r="8">
          <cell r="C8">
            <v>3000000</v>
          </cell>
        </row>
      </sheetData>
      <sheetData sheetId="13">
        <row r="7">
          <cell r="C7">
            <v>17310000</v>
          </cell>
        </row>
        <row r="8">
          <cell r="C8">
            <v>1800000</v>
          </cell>
        </row>
      </sheetData>
      <sheetData sheetId="20">
        <row r="9">
          <cell r="C9">
            <v>11954117000</v>
          </cell>
        </row>
      </sheetData>
      <sheetData sheetId="21">
        <row r="7">
          <cell r="C7">
            <v>33960000</v>
          </cell>
        </row>
      </sheetData>
      <sheetData sheetId="26">
        <row r="223">
          <cell r="D223">
            <v>3172604250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2">
      <selection activeCell="F16" sqref="F16"/>
    </sheetView>
  </sheetViews>
  <sheetFormatPr defaultColWidth="8.88671875" defaultRowHeight="18.75"/>
  <cols>
    <col min="1" max="1" width="28.3359375" style="1" customWidth="1"/>
    <col min="2" max="2" width="14.10546875" style="1" customWidth="1"/>
    <col min="3" max="3" width="15.99609375" style="1" customWidth="1"/>
    <col min="4" max="4" width="13.21484375" style="1" customWidth="1"/>
    <col min="5" max="5" width="10.99609375" style="1" bestFit="1" customWidth="1"/>
    <col min="6" max="6" width="13.77734375" style="11" customWidth="1"/>
    <col min="7" max="7" width="13.4453125" style="11" bestFit="1" customWidth="1"/>
    <col min="8" max="8" width="14.6640625" style="1" bestFit="1" customWidth="1"/>
    <col min="9" max="16384" width="8.88671875" style="1" customWidth="1"/>
  </cols>
  <sheetData>
    <row r="1" spans="1:4" ht="15.75" customHeight="1">
      <c r="A1" s="2"/>
      <c r="D1" s="1" t="s">
        <v>0</v>
      </c>
    </row>
    <row r="2" ht="15.75" customHeight="1">
      <c r="A2" s="2"/>
    </row>
    <row r="3" ht="18" customHeight="1">
      <c r="A3" s="2"/>
    </row>
    <row r="4" spans="1:5" ht="15.75" customHeight="1">
      <c r="A4" s="113" t="s">
        <v>106</v>
      </c>
      <c r="B4" s="113"/>
      <c r="C4" s="113"/>
      <c r="D4" s="113"/>
      <c r="E4" s="113"/>
    </row>
    <row r="5" spans="1:4" ht="39.75" customHeight="1">
      <c r="A5" s="123" t="s">
        <v>16</v>
      </c>
      <c r="B5" s="123"/>
      <c r="C5" s="123"/>
      <c r="D5" s="123"/>
    </row>
    <row r="6" ht="15.75">
      <c r="D6" s="1" t="s">
        <v>1</v>
      </c>
    </row>
    <row r="7" spans="1:4" ht="21.75" customHeight="1">
      <c r="A7" s="47" t="s">
        <v>2</v>
      </c>
      <c r="B7" s="47" t="s">
        <v>3</v>
      </c>
      <c r="C7" s="47" t="s">
        <v>4</v>
      </c>
      <c r="D7" s="47" t="s">
        <v>3</v>
      </c>
    </row>
    <row r="8" spans="1:6" ht="24" customHeight="1">
      <c r="A8" s="44" t="s">
        <v>5</v>
      </c>
      <c r="B8" s="48">
        <f>B9+B10+B11+B14+B15+B16</f>
        <v>20871722276</v>
      </c>
      <c r="C8" s="44" t="s">
        <v>7</v>
      </c>
      <c r="D8" s="48">
        <f>D9+D10+D11+D14</f>
        <v>20871722276</v>
      </c>
      <c r="F8" s="34"/>
    </row>
    <row r="9" spans="1:6" ht="20.25" customHeight="1">
      <c r="A9" s="49" t="s">
        <v>6</v>
      </c>
      <c r="B9" s="45">
        <f>Thu!F9</f>
        <v>274062518</v>
      </c>
      <c r="C9" s="49" t="s">
        <v>8</v>
      </c>
      <c r="D9" s="50">
        <f>'[1]TIỀN ĐẤT  '!$C$9</f>
        <v>11954117000</v>
      </c>
      <c r="F9" s="34"/>
    </row>
    <row r="10" spans="1:6" ht="18" customHeight="1">
      <c r="A10" s="49" t="s">
        <v>17</v>
      </c>
      <c r="B10" s="45">
        <f>Thu!F21</f>
        <v>4264759899</v>
      </c>
      <c r="C10" s="49" t="s">
        <v>9</v>
      </c>
      <c r="D10" s="51">
        <f>18404103324-D9-D14</f>
        <v>6061424324</v>
      </c>
      <c r="F10" s="34"/>
    </row>
    <row r="11" spans="1:6" ht="18.75" customHeight="1">
      <c r="A11" s="49" t="s">
        <v>10</v>
      </c>
      <c r="B11" s="52">
        <f>B12+B13</f>
        <v>5769726336</v>
      </c>
      <c r="C11" s="120" t="s">
        <v>18</v>
      </c>
      <c r="D11" s="115">
        <v>2467618952</v>
      </c>
      <c r="F11" s="34"/>
    </row>
    <row r="12" spans="1:6" ht="19.5" customHeight="1">
      <c r="A12" s="49" t="s">
        <v>11</v>
      </c>
      <c r="B12" s="52">
        <v>3788000000</v>
      </c>
      <c r="C12" s="126"/>
      <c r="D12" s="116"/>
      <c r="E12" s="12"/>
      <c r="F12" s="34"/>
    </row>
    <row r="13" spans="1:4" ht="18.75" customHeight="1">
      <c r="A13" s="49" t="s">
        <v>12</v>
      </c>
      <c r="B13" s="52">
        <f>Thu!F35</f>
        <v>1981726336</v>
      </c>
      <c r="C13" s="127"/>
      <c r="D13" s="117"/>
    </row>
    <row r="14" spans="1:4" ht="20.25" customHeight="1">
      <c r="A14" s="49" t="s">
        <v>13</v>
      </c>
      <c r="B14" s="52">
        <v>0</v>
      </c>
      <c r="C14" s="120" t="s">
        <v>19</v>
      </c>
      <c r="D14" s="115">
        <v>388562000</v>
      </c>
    </row>
    <row r="15" spans="1:4" ht="16.5" customHeight="1">
      <c r="A15" s="49" t="s">
        <v>14</v>
      </c>
      <c r="B15" s="52"/>
      <c r="C15" s="121"/>
      <c r="D15" s="116"/>
    </row>
    <row r="16" spans="1:8" ht="38.25" customHeight="1">
      <c r="A16" s="46" t="s">
        <v>64</v>
      </c>
      <c r="B16" s="45">
        <f>Thu!F31</f>
        <v>10563173523</v>
      </c>
      <c r="C16" s="122"/>
      <c r="D16" s="117"/>
      <c r="F16" s="34"/>
      <c r="H16" s="29"/>
    </row>
    <row r="17" spans="1:6" ht="24" customHeight="1">
      <c r="A17" s="44" t="s">
        <v>15</v>
      </c>
      <c r="B17" s="49"/>
      <c r="C17" s="49"/>
      <c r="D17" s="45"/>
      <c r="F17" s="34"/>
    </row>
    <row r="18" spans="1:7" ht="44.25" customHeight="1">
      <c r="A18" s="124"/>
      <c r="B18" s="125"/>
      <c r="C18" s="125"/>
      <c r="D18" s="125"/>
      <c r="F18" s="34"/>
      <c r="G18" s="4"/>
    </row>
    <row r="19" spans="2:7" ht="17.25" customHeight="1">
      <c r="B19" s="118"/>
      <c r="C19" s="119"/>
      <c r="D19" s="119"/>
      <c r="F19" s="34"/>
      <c r="G19" s="4"/>
    </row>
    <row r="20" spans="1:7" ht="15.75" customHeight="1">
      <c r="A20" s="2"/>
      <c r="B20" s="113"/>
      <c r="C20" s="113"/>
      <c r="D20" s="113"/>
      <c r="F20" s="34"/>
      <c r="G20" s="4"/>
    </row>
    <row r="21" spans="2:7" ht="15.75" customHeight="1">
      <c r="B21" s="113"/>
      <c r="C21" s="113"/>
      <c r="D21" s="113"/>
      <c r="F21" s="34"/>
      <c r="G21" s="4"/>
    </row>
    <row r="22" spans="2:7" ht="15" customHeight="1">
      <c r="B22" s="114"/>
      <c r="C22" s="114"/>
      <c r="D22" s="114"/>
      <c r="F22" s="34"/>
      <c r="G22" s="4"/>
    </row>
    <row r="23" spans="2:7" ht="15" customHeight="1">
      <c r="B23" s="30"/>
      <c r="C23" s="30"/>
      <c r="D23" s="30"/>
      <c r="F23" s="34"/>
      <c r="G23" s="4"/>
    </row>
    <row r="24" spans="2:7" ht="15" customHeight="1">
      <c r="B24" s="30"/>
      <c r="C24" s="30"/>
      <c r="D24" s="30"/>
      <c r="F24" s="34"/>
      <c r="G24" s="4"/>
    </row>
    <row r="25" spans="2:7" ht="15" customHeight="1">
      <c r="B25" s="30"/>
      <c r="C25" s="30"/>
      <c r="D25" s="30"/>
      <c r="F25" s="34"/>
      <c r="G25" s="4"/>
    </row>
    <row r="26" spans="2:7" ht="15" customHeight="1">
      <c r="B26" s="30"/>
      <c r="C26" s="30"/>
      <c r="D26" s="30"/>
      <c r="F26" s="34"/>
      <c r="G26" s="4"/>
    </row>
    <row r="27" spans="2:7" ht="15" customHeight="1">
      <c r="B27" s="30"/>
      <c r="C27" s="30"/>
      <c r="D27" s="30"/>
      <c r="F27" s="34"/>
      <c r="G27" s="4"/>
    </row>
    <row r="28" spans="6:7" ht="15.75">
      <c r="F28" s="34"/>
      <c r="G28" s="4"/>
    </row>
    <row r="29" spans="1:6" ht="15.75">
      <c r="A29" s="3"/>
      <c r="B29" s="113"/>
      <c r="C29" s="113"/>
      <c r="D29" s="113"/>
      <c r="F29" s="34"/>
    </row>
    <row r="30" ht="15.75">
      <c r="F30" s="35"/>
    </row>
    <row r="31" spans="5:6" ht="18.75" customHeight="1">
      <c r="E31" s="3"/>
      <c r="F31" s="35"/>
    </row>
    <row r="32" spans="6:7" ht="15.75">
      <c r="F32" s="35"/>
      <c r="G32" s="4"/>
    </row>
  </sheetData>
  <sheetProtection/>
  <mergeCells count="12">
    <mergeCell ref="A18:D18"/>
    <mergeCell ref="C11:C13"/>
    <mergeCell ref="B29:D29"/>
    <mergeCell ref="B20:D20"/>
    <mergeCell ref="B21:D21"/>
    <mergeCell ref="B22:D22"/>
    <mergeCell ref="A4:E4"/>
    <mergeCell ref="D11:D13"/>
    <mergeCell ref="D14:D16"/>
    <mergeCell ref="B19:D19"/>
    <mergeCell ref="C14:C16"/>
    <mergeCell ref="A5:D5"/>
  </mergeCells>
  <printOptions/>
  <pageMargins left="0.81" right="0.2" top="0.73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106" zoomScaleNormal="106" zoomScalePageLayoutView="0" workbookViewId="0" topLeftCell="A1">
      <selection activeCell="H14" sqref="H14"/>
    </sheetView>
  </sheetViews>
  <sheetFormatPr defaultColWidth="8.88671875" defaultRowHeight="18.75"/>
  <cols>
    <col min="1" max="1" width="39.4453125" style="6" customWidth="1"/>
    <col min="2" max="2" width="11.21484375" style="9" customWidth="1"/>
    <col min="3" max="3" width="10.88671875" style="9" customWidth="1"/>
    <col min="4" max="4" width="11.4453125" style="9" customWidth="1"/>
    <col min="5" max="5" width="11.3359375" style="9" customWidth="1"/>
    <col min="6" max="6" width="10.6640625" style="9" customWidth="1"/>
    <col min="7" max="7" width="9.88671875" style="9" customWidth="1"/>
    <col min="8" max="8" width="8.99609375" style="6" customWidth="1"/>
    <col min="9" max="9" width="13.10546875" style="6" bestFit="1" customWidth="1"/>
    <col min="10" max="10" width="11.5546875" style="6" customWidth="1"/>
    <col min="11" max="16384" width="8.88671875" style="6" customWidth="1"/>
  </cols>
  <sheetData>
    <row r="1" spans="1:6" ht="16.5" customHeight="1">
      <c r="A1" s="5"/>
      <c r="F1" s="14"/>
    </row>
    <row r="2" ht="16.5" customHeight="1">
      <c r="A2" s="5"/>
    </row>
    <row r="3" spans="1:7" ht="16.5" customHeight="1">
      <c r="A3" s="128" t="s">
        <v>139</v>
      </c>
      <c r="B3" s="128"/>
      <c r="C3" s="128"/>
      <c r="D3" s="128"/>
      <c r="E3" s="128"/>
      <c r="F3" s="128"/>
      <c r="G3" s="128"/>
    </row>
    <row r="4" spans="1:7" ht="16.5" customHeight="1">
      <c r="A4" s="129" t="s">
        <v>65</v>
      </c>
      <c r="B4" s="130"/>
      <c r="C4" s="130"/>
      <c r="D4" s="130"/>
      <c r="E4" s="130"/>
      <c r="F4" s="130"/>
      <c r="G4" s="130"/>
    </row>
    <row r="5" spans="5:7" ht="16.5" customHeight="1">
      <c r="E5" s="131" t="s">
        <v>1</v>
      </c>
      <c r="F5" s="131"/>
      <c r="G5" s="131"/>
    </row>
    <row r="6" spans="1:8" ht="16.5" customHeight="1">
      <c r="A6" s="132" t="s">
        <v>21</v>
      </c>
      <c r="B6" s="133" t="s">
        <v>22</v>
      </c>
      <c r="C6" s="133"/>
      <c r="D6" s="133" t="s">
        <v>3</v>
      </c>
      <c r="E6" s="133"/>
      <c r="F6" s="137" t="s">
        <v>140</v>
      </c>
      <c r="G6" s="138">
        <v>0.7</v>
      </c>
      <c r="H6" s="134">
        <v>0.3</v>
      </c>
    </row>
    <row r="7" spans="1:8" ht="16.5" customHeight="1">
      <c r="A7" s="132"/>
      <c r="B7" s="7" t="s">
        <v>24</v>
      </c>
      <c r="C7" s="7" t="s">
        <v>25</v>
      </c>
      <c r="D7" s="7" t="s">
        <v>24</v>
      </c>
      <c r="E7" s="7" t="s">
        <v>25</v>
      </c>
      <c r="F7" s="135"/>
      <c r="G7" s="139"/>
      <c r="H7" s="135"/>
    </row>
    <row r="8" spans="1:8" ht="16.5" customHeight="1">
      <c r="A8" s="132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8">
        <v>7</v>
      </c>
    </row>
    <row r="9" spans="1:9" s="5" customFormat="1" ht="23.25" customHeight="1">
      <c r="A9" s="61" t="s">
        <v>133</v>
      </c>
      <c r="B9" s="54">
        <f>B10+B22+B31+B32+B33+B34</f>
        <v>14497000000</v>
      </c>
      <c r="C9" s="54">
        <f>C10+C22+C31+C32+C33+C34</f>
        <v>10357000000</v>
      </c>
      <c r="D9" s="54">
        <f>D10+D22+D31+D32+D33+D34</f>
        <v>18193185676</v>
      </c>
      <c r="E9" s="54">
        <f>E10+E22+E31+E32+E33+E34</f>
        <v>18193185676</v>
      </c>
      <c r="F9" s="54">
        <f>F10+F22</f>
        <v>1356996299</v>
      </c>
      <c r="G9" s="80">
        <f>F9*70%</f>
        <v>949897409.3</v>
      </c>
      <c r="H9" s="80">
        <f>F9*30%</f>
        <v>407098889.7</v>
      </c>
      <c r="I9" s="32">
        <f>648835202-99000000</f>
        <v>549835202</v>
      </c>
    </row>
    <row r="10" spans="1:9" s="5" customFormat="1" ht="21.75" customHeight="1">
      <c r="A10" s="53" t="s">
        <v>26</v>
      </c>
      <c r="B10" s="54">
        <f>B11+B14+B13+B15+B16+B17+B18</f>
        <v>227000000</v>
      </c>
      <c r="C10" s="54">
        <f>C11+C14+C13+C15+C16+C17+C18</f>
        <v>227000000</v>
      </c>
      <c r="D10" s="54">
        <f>D11+D14+D13+D15+D16+D17+D18+D21</f>
        <v>171667518</v>
      </c>
      <c r="E10" s="54">
        <f>E11+E14+E13+E15+E16+E17+E18+E21</f>
        <v>171667518</v>
      </c>
      <c r="F10" s="54">
        <f>SUM(F11+F18)</f>
        <v>-16622000</v>
      </c>
      <c r="G10" s="54"/>
      <c r="H10" s="54"/>
      <c r="I10" s="32">
        <f>I9-H9</f>
        <v>142736312.3</v>
      </c>
    </row>
    <row r="11" spans="1:8" ht="21" customHeight="1">
      <c r="A11" s="56" t="s">
        <v>27</v>
      </c>
      <c r="B11" s="57">
        <v>77000000</v>
      </c>
      <c r="C11" s="57">
        <v>77000000</v>
      </c>
      <c r="D11" s="57">
        <v>54270000</v>
      </c>
      <c r="E11" s="57">
        <v>54270000</v>
      </c>
      <c r="F11" s="57">
        <f>E11-C11</f>
        <v>-22730000</v>
      </c>
      <c r="G11" s="57"/>
      <c r="H11" s="57"/>
    </row>
    <row r="12" spans="1:8" ht="21.75" customHeight="1">
      <c r="A12" s="58" t="s">
        <v>72</v>
      </c>
      <c r="B12" s="59"/>
      <c r="C12" s="59"/>
      <c r="D12" s="57">
        <v>22100000</v>
      </c>
      <c r="E12" s="57">
        <v>22100000</v>
      </c>
      <c r="F12" s="57"/>
      <c r="G12" s="57"/>
      <c r="H12" s="57"/>
    </row>
    <row r="13" spans="1:8" ht="16.5" customHeight="1">
      <c r="A13" s="56" t="s">
        <v>28</v>
      </c>
      <c r="B13" s="57">
        <v>40000000</v>
      </c>
      <c r="C13" s="57">
        <v>40000000</v>
      </c>
      <c r="D13" s="57"/>
      <c r="E13" s="57"/>
      <c r="F13" s="57"/>
      <c r="G13" s="57"/>
      <c r="H13" s="57"/>
    </row>
    <row r="14" spans="1:8" ht="20.25" customHeight="1">
      <c r="A14" s="56" t="s">
        <v>29</v>
      </c>
      <c r="B14" s="57"/>
      <c r="C14" s="57"/>
      <c r="D14" s="57"/>
      <c r="E14" s="57">
        <f>D14</f>
        <v>0</v>
      </c>
      <c r="F14" s="57"/>
      <c r="G14" s="57"/>
      <c r="H14" s="57"/>
    </row>
    <row r="15" spans="1:8" ht="18.75" customHeight="1">
      <c r="A15" s="56" t="s">
        <v>30</v>
      </c>
      <c r="B15" s="57"/>
      <c r="C15" s="57"/>
      <c r="D15" s="57"/>
      <c r="E15" s="57">
        <f>D15</f>
        <v>0</v>
      </c>
      <c r="F15" s="57"/>
      <c r="G15" s="57"/>
      <c r="H15" s="57"/>
    </row>
    <row r="16" spans="1:8" ht="30.75" customHeight="1">
      <c r="A16" s="60" t="s">
        <v>31</v>
      </c>
      <c r="B16" s="57"/>
      <c r="C16" s="57"/>
      <c r="D16" s="57"/>
      <c r="E16" s="57">
        <f>D16</f>
        <v>0</v>
      </c>
      <c r="F16" s="57"/>
      <c r="G16" s="57"/>
      <c r="H16" s="57"/>
    </row>
    <row r="17" spans="1:8" ht="16.5" customHeight="1">
      <c r="A17" s="56" t="s">
        <v>32</v>
      </c>
      <c r="B17" s="57"/>
      <c r="C17" s="57"/>
      <c r="D17" s="57"/>
      <c r="E17" s="57">
        <f>D17</f>
        <v>0</v>
      </c>
      <c r="F17" s="57"/>
      <c r="G17" s="57"/>
      <c r="H17" s="57"/>
    </row>
    <row r="18" spans="1:8" ht="21.75" customHeight="1">
      <c r="A18" s="61" t="s">
        <v>33</v>
      </c>
      <c r="B18" s="54">
        <v>110000000</v>
      </c>
      <c r="C18" s="54">
        <v>110000000</v>
      </c>
      <c r="D18" s="54">
        <f>SUM(D19:D20)</f>
        <v>116108000</v>
      </c>
      <c r="E18" s="54">
        <f>SUM(E19:E20)</f>
        <v>116108000</v>
      </c>
      <c r="F18" s="54">
        <f>E18-C18</f>
        <v>6108000</v>
      </c>
      <c r="G18" s="54"/>
      <c r="H18" s="54"/>
    </row>
    <row r="19" spans="1:8" ht="18.75" customHeight="1">
      <c r="A19" s="56" t="s">
        <v>107</v>
      </c>
      <c r="B19" s="62"/>
      <c r="C19" s="62"/>
      <c r="D19" s="57">
        <v>59108000</v>
      </c>
      <c r="E19" s="57">
        <v>59108000</v>
      </c>
      <c r="F19" s="62"/>
      <c r="G19" s="57"/>
      <c r="H19" s="57"/>
    </row>
    <row r="20" spans="1:8" ht="17.25" customHeight="1">
      <c r="A20" s="56" t="s">
        <v>123</v>
      </c>
      <c r="B20" s="62"/>
      <c r="C20" s="62"/>
      <c r="D20" s="57">
        <v>57000000</v>
      </c>
      <c r="E20" s="57">
        <v>57000000</v>
      </c>
      <c r="F20" s="62"/>
      <c r="G20" s="57"/>
      <c r="H20" s="57"/>
    </row>
    <row r="21" spans="1:8" ht="16.5" customHeight="1">
      <c r="A21" s="61" t="s">
        <v>102</v>
      </c>
      <c r="B21" s="63"/>
      <c r="C21" s="63"/>
      <c r="D21" s="54">
        <v>1289518</v>
      </c>
      <c r="E21" s="54">
        <v>1289518</v>
      </c>
      <c r="F21" s="63"/>
      <c r="G21" s="54"/>
      <c r="H21" s="54"/>
    </row>
    <row r="22" spans="1:9" s="5" customFormat="1" ht="16.5" customHeight="1">
      <c r="A22" s="53" t="s">
        <v>34</v>
      </c>
      <c r="B22" s="54">
        <f>B23</f>
        <v>10215000000</v>
      </c>
      <c r="C22" s="54">
        <f>C23</f>
        <v>6075000000</v>
      </c>
      <c r="D22" s="54">
        <f>D23</f>
        <v>1688618299</v>
      </c>
      <c r="E22" s="54">
        <f>E23</f>
        <v>1688618299</v>
      </c>
      <c r="F22" s="54">
        <f>F23</f>
        <v>1373618299</v>
      </c>
      <c r="G22" s="54"/>
      <c r="H22" s="54"/>
      <c r="I22" s="32"/>
    </row>
    <row r="23" spans="1:9" s="5" customFormat="1" ht="16.5" customHeight="1">
      <c r="A23" s="53" t="s">
        <v>35</v>
      </c>
      <c r="B23" s="54">
        <f>SUM(B24:B30)</f>
        <v>10215000000</v>
      </c>
      <c r="C23" s="54">
        <f>SUM(C24:C30)</f>
        <v>6075000000</v>
      </c>
      <c r="D23" s="54">
        <f>SUM(D24:D30)</f>
        <v>1688618299</v>
      </c>
      <c r="E23" s="54">
        <f>SUM(E24:E30)</f>
        <v>1688618299</v>
      </c>
      <c r="F23" s="54">
        <f>SUM(F24:F30)</f>
        <v>1373618299</v>
      </c>
      <c r="G23" s="54"/>
      <c r="H23" s="54"/>
      <c r="I23" s="32"/>
    </row>
    <row r="24" spans="1:9" ht="16.5" customHeight="1">
      <c r="A24" s="56" t="s">
        <v>62</v>
      </c>
      <c r="B24" s="57"/>
      <c r="C24" s="57"/>
      <c r="D24" s="57">
        <v>5216800</v>
      </c>
      <c r="E24" s="57">
        <v>5216800</v>
      </c>
      <c r="F24" s="57">
        <f aca="true" t="shared" si="0" ref="F24:F29">E24-C24</f>
        <v>5216800</v>
      </c>
      <c r="G24" s="57"/>
      <c r="H24" s="57"/>
      <c r="I24" s="31"/>
    </row>
    <row r="25" spans="1:9" ht="16.5" customHeight="1">
      <c r="A25" s="56" t="s">
        <v>59</v>
      </c>
      <c r="B25" s="57">
        <v>201000000</v>
      </c>
      <c r="C25" s="57">
        <v>201000000</v>
      </c>
      <c r="D25" s="57">
        <v>136828713</v>
      </c>
      <c r="E25" s="57">
        <v>136828713</v>
      </c>
      <c r="F25" s="57">
        <f t="shared" si="0"/>
        <v>-64171287</v>
      </c>
      <c r="G25" s="57"/>
      <c r="H25" s="57"/>
      <c r="I25" s="31"/>
    </row>
    <row r="26" spans="1:9" ht="16.5" customHeight="1">
      <c r="A26" s="56" t="s">
        <v>67</v>
      </c>
      <c r="B26" s="57"/>
      <c r="C26" s="57"/>
      <c r="D26" s="57"/>
      <c r="E26" s="57"/>
      <c r="F26" s="57">
        <f t="shared" si="0"/>
        <v>0</v>
      </c>
      <c r="G26" s="57"/>
      <c r="H26" s="57"/>
      <c r="I26" s="31"/>
    </row>
    <row r="27" spans="1:8" ht="16.5" customHeight="1">
      <c r="A27" s="56" t="s">
        <v>36</v>
      </c>
      <c r="B27" s="57">
        <v>10000000</v>
      </c>
      <c r="C27" s="57">
        <v>10000000</v>
      </c>
      <c r="D27" s="57">
        <v>324299194</v>
      </c>
      <c r="E27" s="57">
        <v>324299194</v>
      </c>
      <c r="F27" s="57">
        <f t="shared" si="0"/>
        <v>314299194</v>
      </c>
      <c r="G27" s="57"/>
      <c r="H27" s="57"/>
    </row>
    <row r="28" spans="1:9" ht="16.5" customHeight="1">
      <c r="A28" s="56" t="s">
        <v>60</v>
      </c>
      <c r="B28" s="57">
        <v>104000000</v>
      </c>
      <c r="C28" s="57">
        <v>104000000</v>
      </c>
      <c r="D28" s="57">
        <v>1221853525</v>
      </c>
      <c r="E28" s="57">
        <v>1221853525</v>
      </c>
      <c r="F28" s="57">
        <f t="shared" si="0"/>
        <v>1117853525</v>
      </c>
      <c r="G28" s="57"/>
      <c r="H28" s="57"/>
      <c r="I28" s="31"/>
    </row>
    <row r="29" spans="1:9" ht="16.5" customHeight="1">
      <c r="A29" s="56" t="s">
        <v>68</v>
      </c>
      <c r="B29" s="57"/>
      <c r="C29" s="57"/>
      <c r="D29" s="57">
        <v>420067</v>
      </c>
      <c r="E29" s="57">
        <v>420067</v>
      </c>
      <c r="F29" s="57">
        <f t="shared" si="0"/>
        <v>420067</v>
      </c>
      <c r="G29" s="57"/>
      <c r="H29" s="57"/>
      <c r="I29" s="31"/>
    </row>
    <row r="30" spans="1:8" ht="16.5" customHeight="1">
      <c r="A30" s="56" t="s">
        <v>61</v>
      </c>
      <c r="B30" s="57">
        <v>9900000000</v>
      </c>
      <c r="C30" s="57">
        <v>5760000000</v>
      </c>
      <c r="D30" s="57"/>
      <c r="E30" s="57"/>
      <c r="F30" s="57"/>
      <c r="G30" s="57"/>
      <c r="H30" s="57"/>
    </row>
    <row r="31" spans="1:8" s="5" customFormat="1" ht="16.5" customHeight="1">
      <c r="A31" s="53" t="s">
        <v>37</v>
      </c>
      <c r="B31" s="54"/>
      <c r="C31" s="54"/>
      <c r="D31" s="54"/>
      <c r="E31" s="54"/>
      <c r="F31" s="54"/>
      <c r="G31" s="54"/>
      <c r="H31" s="54"/>
    </row>
    <row r="32" spans="1:8" s="5" customFormat="1" ht="20.25" customHeight="1">
      <c r="A32" s="53" t="s">
        <v>38</v>
      </c>
      <c r="B32" s="54"/>
      <c r="C32" s="54"/>
      <c r="D32" s="54">
        <v>10563173523</v>
      </c>
      <c r="E32" s="54">
        <v>10563173523</v>
      </c>
      <c r="F32" s="54"/>
      <c r="G32" s="54"/>
      <c r="H32" s="54"/>
    </row>
    <row r="33" spans="1:8" s="5" customFormat="1" ht="18.75" customHeight="1">
      <c r="A33" s="53" t="s">
        <v>39</v>
      </c>
      <c r="B33" s="54"/>
      <c r="C33" s="54"/>
      <c r="D33" s="54"/>
      <c r="E33" s="54"/>
      <c r="F33" s="54"/>
      <c r="G33" s="54"/>
      <c r="H33" s="54"/>
    </row>
    <row r="34" spans="1:8" s="5" customFormat="1" ht="20.25" customHeight="1">
      <c r="A34" s="53" t="s">
        <v>40</v>
      </c>
      <c r="B34" s="54">
        <f>B35+B36</f>
        <v>4055000000</v>
      </c>
      <c r="C34" s="54">
        <f>C35+C36</f>
        <v>4055000000</v>
      </c>
      <c r="D34" s="54">
        <f>D35+D36</f>
        <v>5769726336</v>
      </c>
      <c r="E34" s="54">
        <f>E35+E36</f>
        <v>5769726336</v>
      </c>
      <c r="F34" s="54"/>
      <c r="G34" s="54"/>
      <c r="H34" s="54"/>
    </row>
    <row r="35" spans="1:8" ht="20.25" customHeight="1">
      <c r="A35" s="58" t="s">
        <v>11</v>
      </c>
      <c r="B35" s="57">
        <v>3788000000</v>
      </c>
      <c r="C35" s="57">
        <v>3788000000</v>
      </c>
      <c r="D35" s="57">
        <v>3788000000</v>
      </c>
      <c r="E35" s="57">
        <v>3788000000</v>
      </c>
      <c r="F35" s="57"/>
      <c r="G35" s="57"/>
      <c r="H35" s="57"/>
    </row>
    <row r="36" spans="1:8" ht="21.75" customHeight="1">
      <c r="A36" s="58" t="s">
        <v>12</v>
      </c>
      <c r="B36" s="57">
        <v>267000000</v>
      </c>
      <c r="C36" s="57">
        <f>B36</f>
        <v>267000000</v>
      </c>
      <c r="D36" s="57">
        <v>1981726336</v>
      </c>
      <c r="E36" s="57">
        <v>1981726336</v>
      </c>
      <c r="F36" s="57"/>
      <c r="G36" s="57"/>
      <c r="H36" s="57"/>
    </row>
    <row r="37" spans="1:7" ht="16.5" customHeight="1">
      <c r="A37" s="13"/>
      <c r="B37" s="15"/>
      <c r="C37" s="15"/>
      <c r="D37" s="17"/>
      <c r="E37" s="15"/>
      <c r="F37" s="16"/>
      <c r="G37" s="16"/>
    </row>
    <row r="38" spans="4:7" ht="16.5" customHeight="1">
      <c r="D38" s="136"/>
      <c r="E38" s="136"/>
      <c r="F38" s="136"/>
      <c r="G38" s="136"/>
    </row>
    <row r="39" spans="1:7" ht="16.5" customHeight="1">
      <c r="A39" s="14"/>
      <c r="D39" s="128"/>
      <c r="E39" s="128"/>
      <c r="F39" s="128"/>
      <c r="G39" s="128"/>
    </row>
    <row r="40" spans="4:7" ht="16.5" customHeight="1">
      <c r="D40" s="128"/>
      <c r="E40" s="128"/>
      <c r="F40" s="128"/>
      <c r="G40" s="128"/>
    </row>
    <row r="41" spans="4:7" ht="16.5" customHeight="1">
      <c r="D41" s="136"/>
      <c r="E41" s="136"/>
      <c r="F41" s="136"/>
      <c r="G41" s="136"/>
    </row>
    <row r="42" ht="16.5" customHeight="1"/>
    <row r="43" ht="16.5" customHeight="1"/>
    <row r="44" spans="1:7" ht="16.5" customHeight="1">
      <c r="A44" s="14"/>
      <c r="B44" s="10"/>
      <c r="C44" s="10"/>
      <c r="D44" s="128"/>
      <c r="E44" s="128"/>
      <c r="F44" s="128"/>
      <c r="G44" s="128"/>
    </row>
  </sheetData>
  <sheetProtection/>
  <mergeCells count="14">
    <mergeCell ref="H6:H7"/>
    <mergeCell ref="D38:G38"/>
    <mergeCell ref="D39:G39"/>
    <mergeCell ref="D40:G40"/>
    <mergeCell ref="D41:G41"/>
    <mergeCell ref="D44:G44"/>
    <mergeCell ref="F6:F7"/>
    <mergeCell ref="G6:G7"/>
    <mergeCell ref="A3:G3"/>
    <mergeCell ref="A4:G4"/>
    <mergeCell ref="E5:G5"/>
    <mergeCell ref="A6:A8"/>
    <mergeCell ref="B6:C6"/>
    <mergeCell ref="D6:E6"/>
  </mergeCells>
  <printOptions/>
  <pageMargins left="0.27" right="0.2" top="0.22" bottom="0.2" header="0.5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P61"/>
  <sheetViews>
    <sheetView tabSelected="1" view="pageBreakPreview" zoomScale="60" zoomScaleNormal="106" zoomScalePageLayoutView="0" workbookViewId="0" topLeftCell="A1">
      <selection activeCell="B15" sqref="B15"/>
    </sheetView>
  </sheetViews>
  <sheetFormatPr defaultColWidth="8.88671875" defaultRowHeight="18.75"/>
  <cols>
    <col min="1" max="1" width="44.3359375" style="6" customWidth="1"/>
    <col min="2" max="2" width="13.3359375" style="9" bestFit="1" customWidth="1"/>
    <col min="3" max="4" width="11.6640625" style="9" customWidth="1"/>
    <col min="5" max="5" width="12.4453125" style="9" customWidth="1"/>
    <col min="6" max="6" width="11.5546875" style="9" customWidth="1"/>
    <col min="7" max="8" width="8.4453125" style="9" customWidth="1"/>
    <col min="9" max="9" width="12.77734375" style="6" customWidth="1"/>
    <col min="10" max="10" width="13.10546875" style="6" bestFit="1" customWidth="1"/>
    <col min="11" max="16384" width="8.88671875" style="6" customWidth="1"/>
  </cols>
  <sheetData>
    <row r="1" spans="1:7" ht="16.5" customHeight="1">
      <c r="A1" s="5"/>
      <c r="G1" s="14" t="s">
        <v>20</v>
      </c>
    </row>
    <row r="2" spans="1:9" ht="18.75" customHeight="1">
      <c r="A2" s="140" t="s">
        <v>170</v>
      </c>
      <c r="B2" s="140"/>
      <c r="C2" s="140"/>
      <c r="D2" s="140"/>
      <c r="E2" s="140"/>
      <c r="F2" s="140"/>
      <c r="G2" s="140"/>
      <c r="H2" s="140"/>
      <c r="I2" s="140"/>
    </row>
    <row r="3" spans="1:16" ht="18.75" customHeight="1">
      <c r="A3" s="130" t="s">
        <v>266</v>
      </c>
      <c r="B3" s="130"/>
      <c r="C3" s="130"/>
      <c r="D3" s="130"/>
      <c r="E3" s="130"/>
      <c r="F3" s="130"/>
      <c r="G3" s="130"/>
      <c r="H3" s="130"/>
      <c r="I3" s="130"/>
      <c r="J3" s="210"/>
      <c r="K3" s="210"/>
      <c r="L3" s="210"/>
      <c r="M3" s="210"/>
      <c r="N3" s="210"/>
      <c r="O3" s="210"/>
      <c r="P3" s="210"/>
    </row>
    <row r="4" spans="6:8" ht="16.5" customHeight="1">
      <c r="F4" s="131" t="s">
        <v>1</v>
      </c>
      <c r="G4" s="141"/>
      <c r="H4" s="141"/>
    </row>
    <row r="5" spans="1:9" ht="16.5" customHeight="1">
      <c r="A5" s="132" t="s">
        <v>21</v>
      </c>
      <c r="B5" s="142" t="s">
        <v>22</v>
      </c>
      <c r="C5" s="143"/>
      <c r="D5" s="144"/>
      <c r="E5" s="133" t="s">
        <v>3</v>
      </c>
      <c r="F5" s="133"/>
      <c r="G5" s="142" t="s">
        <v>23</v>
      </c>
      <c r="H5" s="143"/>
      <c r="I5" s="144"/>
    </row>
    <row r="6" spans="1:9" ht="42" customHeight="1">
      <c r="A6" s="132"/>
      <c r="B6" s="7" t="s">
        <v>24</v>
      </c>
      <c r="C6" s="102" t="s">
        <v>196</v>
      </c>
      <c r="D6" s="102" t="s">
        <v>197</v>
      </c>
      <c r="E6" s="7" t="s">
        <v>24</v>
      </c>
      <c r="F6" s="7" t="s">
        <v>25</v>
      </c>
      <c r="G6" s="7" t="s">
        <v>24</v>
      </c>
      <c r="H6" s="102" t="s">
        <v>196</v>
      </c>
      <c r="I6" s="102" t="s">
        <v>197</v>
      </c>
    </row>
    <row r="7" spans="1:9" ht="15" customHeight="1">
      <c r="A7" s="132"/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</row>
    <row r="8" spans="1:10" s="5" customFormat="1" ht="23.25" customHeight="1">
      <c r="A8" s="61" t="s">
        <v>146</v>
      </c>
      <c r="B8" s="54">
        <f>B9+B21+B30+B31+B32+B33</f>
        <v>14497000000</v>
      </c>
      <c r="C8" s="54">
        <f>C9+C21+C30+C31+C32+C33</f>
        <v>10357000000</v>
      </c>
      <c r="D8" s="54">
        <f>D9+D21+D30+D31+D32+D33</f>
        <v>17668000000</v>
      </c>
      <c r="E8" s="54">
        <f>E9+E21+E30+E31+E32+E33</f>
        <v>24735934676</v>
      </c>
      <c r="F8" s="54">
        <f>F9+F21+F30+F31+F32+F33</f>
        <v>20871722276</v>
      </c>
      <c r="G8" s="104">
        <f aca="true" t="shared" si="0" ref="G8:H10">E8/B8*100</f>
        <v>170.62795527350488</v>
      </c>
      <c r="H8" s="104">
        <f t="shared" si="0"/>
        <v>201.52285677319685</v>
      </c>
      <c r="I8" s="104">
        <f>F8/D8*100</f>
        <v>118.13290851256508</v>
      </c>
      <c r="J8" s="32"/>
    </row>
    <row r="9" spans="1:9" s="5" customFormat="1" ht="21.75" customHeight="1">
      <c r="A9" s="53" t="s">
        <v>26</v>
      </c>
      <c r="B9" s="54">
        <f>B10+B13+B12+B14+B15+B16+B17</f>
        <v>227000000</v>
      </c>
      <c r="C9" s="54">
        <f>C10+C13+C12+C14+C15+C16+C17</f>
        <v>227000000</v>
      </c>
      <c r="D9" s="54">
        <f>D10+D13+D12+D14+D15+D16+D17</f>
        <v>227000000</v>
      </c>
      <c r="E9" s="54">
        <f>E10+E13+E12+E14+E15+E16+E17+E20</f>
        <v>274062518</v>
      </c>
      <c r="F9" s="54">
        <f>F10+F13+F12+F14+F15+F16+F17+F20</f>
        <v>274062518</v>
      </c>
      <c r="G9" s="104">
        <f t="shared" si="0"/>
        <v>120.73238678414097</v>
      </c>
      <c r="H9" s="104">
        <f t="shared" si="0"/>
        <v>120.73238678414097</v>
      </c>
      <c r="I9" s="104">
        <f>F9/D9*100</f>
        <v>120.73238678414097</v>
      </c>
    </row>
    <row r="10" spans="1:9" ht="21" customHeight="1">
      <c r="A10" s="56" t="s">
        <v>27</v>
      </c>
      <c r="B10" s="57">
        <v>77000000</v>
      </c>
      <c r="C10" s="57">
        <v>77000000</v>
      </c>
      <c r="D10" s="57">
        <v>77000000</v>
      </c>
      <c r="E10" s="57">
        <v>54270000</v>
      </c>
      <c r="F10" s="57">
        <v>54270000</v>
      </c>
      <c r="G10" s="104">
        <f t="shared" si="0"/>
        <v>70.48051948051948</v>
      </c>
      <c r="H10" s="104">
        <f t="shared" si="0"/>
        <v>70.48051948051948</v>
      </c>
      <c r="I10" s="104">
        <f>F10/D10*100</f>
        <v>70.48051948051948</v>
      </c>
    </row>
    <row r="11" spans="1:9" ht="21.75" customHeight="1">
      <c r="A11" s="58" t="s">
        <v>72</v>
      </c>
      <c r="B11" s="59"/>
      <c r="C11" s="59">
        <f>B11</f>
        <v>0</v>
      </c>
      <c r="D11" s="59">
        <f>C11</f>
        <v>0</v>
      </c>
      <c r="E11" s="57">
        <v>22100000</v>
      </c>
      <c r="F11" s="57">
        <v>22100000</v>
      </c>
      <c r="G11" s="104"/>
      <c r="H11" s="104"/>
      <c r="I11" s="104"/>
    </row>
    <row r="12" spans="1:9" ht="16.5" customHeight="1">
      <c r="A12" s="56" t="s">
        <v>28</v>
      </c>
      <c r="B12" s="57">
        <v>40000000</v>
      </c>
      <c r="C12" s="57">
        <v>40000000</v>
      </c>
      <c r="D12" s="57">
        <v>40000000</v>
      </c>
      <c r="E12" s="57">
        <v>102395000</v>
      </c>
      <c r="F12" s="57">
        <v>102395000</v>
      </c>
      <c r="G12" s="106">
        <f>E12/B12*100</f>
        <v>255.98749999999998</v>
      </c>
      <c r="H12" s="106">
        <f>F12/C12*100</f>
        <v>255.98749999999998</v>
      </c>
      <c r="I12" s="106">
        <f>F12/D12*100</f>
        <v>255.98749999999998</v>
      </c>
    </row>
    <row r="13" spans="1:9" ht="20.25" customHeight="1">
      <c r="A13" s="56" t="s">
        <v>29</v>
      </c>
      <c r="B13" s="57"/>
      <c r="C13" s="57"/>
      <c r="D13" s="57"/>
      <c r="E13" s="57"/>
      <c r="F13" s="57">
        <f>E13</f>
        <v>0</v>
      </c>
      <c r="G13" s="104"/>
      <c r="H13" s="104"/>
      <c r="I13" s="105"/>
    </row>
    <row r="14" spans="1:9" ht="18.75" customHeight="1">
      <c r="A14" s="56" t="s">
        <v>30</v>
      </c>
      <c r="B14" s="57"/>
      <c r="C14" s="57"/>
      <c r="D14" s="57"/>
      <c r="E14" s="57"/>
      <c r="F14" s="57">
        <f>E14</f>
        <v>0</v>
      </c>
      <c r="G14" s="104"/>
      <c r="H14" s="104"/>
      <c r="I14" s="105"/>
    </row>
    <row r="15" spans="1:9" ht="30.75" customHeight="1">
      <c r="A15" s="60" t="s">
        <v>31</v>
      </c>
      <c r="B15" s="57"/>
      <c r="C15" s="57"/>
      <c r="D15" s="57"/>
      <c r="E15" s="57"/>
      <c r="F15" s="57">
        <f>E15</f>
        <v>0</v>
      </c>
      <c r="G15" s="104"/>
      <c r="H15" s="104"/>
      <c r="I15" s="105"/>
    </row>
    <row r="16" spans="1:9" ht="21.75" customHeight="1">
      <c r="A16" s="56" t="s">
        <v>32</v>
      </c>
      <c r="B16" s="57"/>
      <c r="C16" s="57"/>
      <c r="D16" s="57"/>
      <c r="E16" s="57"/>
      <c r="F16" s="57">
        <f>E16</f>
        <v>0</v>
      </c>
      <c r="G16" s="106"/>
      <c r="H16" s="106"/>
      <c r="I16" s="107"/>
    </row>
    <row r="17" spans="1:9" ht="21.75" customHeight="1">
      <c r="A17" s="61" t="s">
        <v>33</v>
      </c>
      <c r="B17" s="54">
        <v>110000000</v>
      </c>
      <c r="C17" s="54">
        <v>110000000</v>
      </c>
      <c r="D17" s="54">
        <v>110000000</v>
      </c>
      <c r="E17" s="54">
        <f>SUM(E18:E19)</f>
        <v>116108000</v>
      </c>
      <c r="F17" s="54">
        <f>SUM(F18:F19)</f>
        <v>116108000</v>
      </c>
      <c r="G17" s="104">
        <f>E17/B17*100</f>
        <v>105.55272727272727</v>
      </c>
      <c r="H17" s="104">
        <f>F17/C17*100</f>
        <v>105.55272727272727</v>
      </c>
      <c r="I17" s="104">
        <f>F17/D17*100</f>
        <v>105.55272727272727</v>
      </c>
    </row>
    <row r="18" spans="1:9" ht="21.75" customHeight="1">
      <c r="A18" s="56" t="s">
        <v>172</v>
      </c>
      <c r="B18" s="62"/>
      <c r="C18" s="62"/>
      <c r="D18" s="62"/>
      <c r="E18" s="57">
        <v>59108000</v>
      </c>
      <c r="F18" s="57">
        <v>59108000</v>
      </c>
      <c r="G18" s="104"/>
      <c r="H18" s="104"/>
      <c r="I18" s="105"/>
    </row>
    <row r="19" spans="1:9" ht="19.5" customHeight="1">
      <c r="A19" s="56" t="s">
        <v>173</v>
      </c>
      <c r="B19" s="62"/>
      <c r="C19" s="62"/>
      <c r="D19" s="62"/>
      <c r="E19" s="57">
        <v>57000000</v>
      </c>
      <c r="F19" s="57">
        <v>57000000</v>
      </c>
      <c r="G19" s="104"/>
      <c r="H19" s="104"/>
      <c r="I19" s="105"/>
    </row>
    <row r="20" spans="1:9" ht="23.25" customHeight="1">
      <c r="A20" s="61" t="s">
        <v>171</v>
      </c>
      <c r="B20" s="63"/>
      <c r="C20" s="63"/>
      <c r="D20" s="63"/>
      <c r="E20" s="54">
        <v>1289518</v>
      </c>
      <c r="F20" s="54">
        <v>1289518</v>
      </c>
      <c r="G20" s="104"/>
      <c r="H20" s="104"/>
      <c r="I20" s="105"/>
    </row>
    <row r="21" spans="1:10" s="5" customFormat="1" ht="21.75" customHeight="1">
      <c r="A21" s="53" t="s">
        <v>34</v>
      </c>
      <c r="B21" s="54">
        <f>B22</f>
        <v>10215000000</v>
      </c>
      <c r="C21" s="54">
        <f>C22</f>
        <v>6075000000</v>
      </c>
      <c r="D21" s="54">
        <f>D22</f>
        <v>13386000000</v>
      </c>
      <c r="E21" s="54">
        <f>E22</f>
        <v>8128972299</v>
      </c>
      <c r="F21" s="54">
        <f>F22</f>
        <v>4264759899</v>
      </c>
      <c r="G21" s="104">
        <f>E21/B21*100</f>
        <v>79.57877923641703</v>
      </c>
      <c r="H21" s="104">
        <f>F21/C21*100</f>
        <v>70.20180903703704</v>
      </c>
      <c r="I21" s="104">
        <f>F21/D21*100</f>
        <v>31.85985282384581</v>
      </c>
      <c r="J21" s="32"/>
    </row>
    <row r="22" spans="1:10" s="5" customFormat="1" ht="24.75" customHeight="1">
      <c r="A22" s="53" t="s">
        <v>35</v>
      </c>
      <c r="B22" s="54">
        <f>SUM(B23:B29)</f>
        <v>10215000000</v>
      </c>
      <c r="C22" s="54">
        <f>SUM(C23:C29)</f>
        <v>6075000000</v>
      </c>
      <c r="D22" s="54">
        <f>SUM(D23:D29)</f>
        <v>13386000000</v>
      </c>
      <c r="E22" s="54">
        <f>SUM(E23:E29)</f>
        <v>8128972299</v>
      </c>
      <c r="F22" s="54">
        <f>SUM(F23:F29)</f>
        <v>4264759899</v>
      </c>
      <c r="G22" s="104">
        <f>E22/B22*100</f>
        <v>79.57877923641703</v>
      </c>
      <c r="H22" s="104">
        <f>F22/C22*100</f>
        <v>70.20180903703704</v>
      </c>
      <c r="I22" s="104">
        <f>F22/D22*100</f>
        <v>31.85985282384581</v>
      </c>
      <c r="J22" s="32"/>
    </row>
    <row r="23" spans="1:10" ht="21" customHeight="1">
      <c r="A23" s="56" t="s">
        <v>62</v>
      </c>
      <c r="B23" s="57"/>
      <c r="C23" s="57"/>
      <c r="D23" s="57"/>
      <c r="E23" s="57">
        <v>5216800</v>
      </c>
      <c r="F23" s="57">
        <v>5216800</v>
      </c>
      <c r="G23" s="106"/>
      <c r="H23" s="106"/>
      <c r="I23" s="107"/>
      <c r="J23" s="31"/>
    </row>
    <row r="24" spans="1:10" ht="18" customHeight="1">
      <c r="A24" s="56" t="s">
        <v>59</v>
      </c>
      <c r="B24" s="57">
        <v>201000000</v>
      </c>
      <c r="C24" s="57">
        <v>201000000</v>
      </c>
      <c r="D24" s="57">
        <v>201000000</v>
      </c>
      <c r="E24" s="57">
        <v>136828713</v>
      </c>
      <c r="F24" s="57">
        <v>136828713</v>
      </c>
      <c r="G24" s="106">
        <f>E24/B24*100</f>
        <v>68.07398656716418</v>
      </c>
      <c r="H24" s="106">
        <f>F24/C24*100</f>
        <v>68.07398656716418</v>
      </c>
      <c r="I24" s="106">
        <f>F24/D24*100</f>
        <v>68.07398656716418</v>
      </c>
      <c r="J24" s="31"/>
    </row>
    <row r="25" spans="1:10" ht="20.25" customHeight="1">
      <c r="A25" s="56" t="s">
        <v>67</v>
      </c>
      <c r="B25" s="57"/>
      <c r="C25" s="57"/>
      <c r="D25" s="57"/>
      <c r="E25" s="57"/>
      <c r="F25" s="57"/>
      <c r="G25" s="106"/>
      <c r="H25" s="106"/>
      <c r="I25" s="106"/>
      <c r="J25" s="31"/>
    </row>
    <row r="26" spans="1:9" ht="19.5" customHeight="1">
      <c r="A26" s="56" t="s">
        <v>36</v>
      </c>
      <c r="B26" s="57">
        <v>10000000</v>
      </c>
      <c r="C26" s="57">
        <v>10000000</v>
      </c>
      <c r="D26" s="57">
        <v>10000000</v>
      </c>
      <c r="E26" s="57">
        <v>324299194</v>
      </c>
      <c r="F26" s="57">
        <v>324299194</v>
      </c>
      <c r="G26" s="106">
        <f>E26/B26*100</f>
        <v>3242.9919400000003</v>
      </c>
      <c r="H26" s="106">
        <f>F26/C26*100</f>
        <v>3242.9919400000003</v>
      </c>
      <c r="I26" s="106">
        <f>F26/D26*100</f>
        <v>3242.9919400000003</v>
      </c>
    </row>
    <row r="27" spans="1:10" ht="18.75" customHeight="1">
      <c r="A27" s="56" t="s">
        <v>60</v>
      </c>
      <c r="B27" s="57">
        <v>104000000</v>
      </c>
      <c r="C27" s="57">
        <v>104000000</v>
      </c>
      <c r="D27" s="57">
        <v>104000000</v>
      </c>
      <c r="E27" s="57">
        <v>1221853525</v>
      </c>
      <c r="F27" s="57">
        <v>1221853525</v>
      </c>
      <c r="G27" s="106">
        <f>E27/B27*100</f>
        <v>1174.8591586538462</v>
      </c>
      <c r="H27" s="106">
        <f>F27/C27*100</f>
        <v>1174.8591586538462</v>
      </c>
      <c r="I27" s="106">
        <f>F27/D27*100</f>
        <v>1174.8591586538462</v>
      </c>
      <c r="J27" s="31"/>
    </row>
    <row r="28" spans="1:10" ht="20.25" customHeight="1">
      <c r="A28" s="56" t="s">
        <v>68</v>
      </c>
      <c r="B28" s="57"/>
      <c r="C28" s="57"/>
      <c r="D28" s="57"/>
      <c r="E28" s="57">
        <v>420067</v>
      </c>
      <c r="F28" s="57">
        <v>420067</v>
      </c>
      <c r="G28" s="106"/>
      <c r="H28" s="106"/>
      <c r="I28" s="106"/>
      <c r="J28" s="31"/>
    </row>
    <row r="29" spans="1:9" ht="21.75" customHeight="1">
      <c r="A29" s="56" t="s">
        <v>61</v>
      </c>
      <c r="B29" s="57">
        <v>9900000000</v>
      </c>
      <c r="C29" s="57">
        <v>5760000000</v>
      </c>
      <c r="D29" s="57">
        <v>13071000000</v>
      </c>
      <c r="E29" s="57">
        <v>6440354000</v>
      </c>
      <c r="F29" s="57">
        <v>2576141600</v>
      </c>
      <c r="G29" s="106">
        <f>E29/B29*100</f>
        <v>65.05408080808081</v>
      </c>
      <c r="H29" s="106">
        <f>F29/C29*100</f>
        <v>44.72468055555556</v>
      </c>
      <c r="I29" s="106">
        <f>F29/D29*100</f>
        <v>19.708833295080712</v>
      </c>
    </row>
    <row r="30" spans="1:9" s="5" customFormat="1" ht="22.5" customHeight="1">
      <c r="A30" s="53" t="s">
        <v>37</v>
      </c>
      <c r="B30" s="54"/>
      <c r="C30" s="54"/>
      <c r="D30" s="54"/>
      <c r="E30" s="54"/>
      <c r="F30" s="54"/>
      <c r="G30" s="104"/>
      <c r="H30" s="104"/>
      <c r="I30" s="105"/>
    </row>
    <row r="31" spans="1:9" s="5" customFormat="1" ht="20.25" customHeight="1">
      <c r="A31" s="53" t="s">
        <v>38</v>
      </c>
      <c r="B31" s="54"/>
      <c r="C31" s="54"/>
      <c r="D31" s="54"/>
      <c r="E31" s="54">
        <v>10563173523</v>
      </c>
      <c r="F31" s="54">
        <v>10563173523</v>
      </c>
      <c r="G31" s="104"/>
      <c r="H31" s="104"/>
      <c r="I31" s="105"/>
    </row>
    <row r="32" spans="1:9" s="5" customFormat="1" ht="18.75" customHeight="1">
      <c r="A32" s="53" t="s">
        <v>39</v>
      </c>
      <c r="B32" s="54"/>
      <c r="C32" s="54"/>
      <c r="D32" s="54"/>
      <c r="E32" s="54"/>
      <c r="F32" s="54"/>
      <c r="G32" s="104"/>
      <c r="H32" s="104"/>
      <c r="I32" s="105"/>
    </row>
    <row r="33" spans="1:9" s="5" customFormat="1" ht="20.25" customHeight="1">
      <c r="A33" s="53" t="s">
        <v>40</v>
      </c>
      <c r="B33" s="54">
        <f>B34+B35</f>
        <v>4055000000</v>
      </c>
      <c r="C33" s="54">
        <f>C34+C35</f>
        <v>4055000000</v>
      </c>
      <c r="D33" s="54">
        <f>D34+D35</f>
        <v>4055000000</v>
      </c>
      <c r="E33" s="54">
        <f>E34+E35</f>
        <v>5769726336</v>
      </c>
      <c r="F33" s="54">
        <f>F34+F35</f>
        <v>5769726336</v>
      </c>
      <c r="G33" s="104">
        <f>E33/B33*100</f>
        <v>142.28671605425401</v>
      </c>
      <c r="H33" s="104">
        <f>F33/C33*100</f>
        <v>142.28671605425401</v>
      </c>
      <c r="I33" s="104">
        <f>F33/D33*100</f>
        <v>142.28671605425401</v>
      </c>
    </row>
    <row r="34" spans="1:9" ht="23.25" customHeight="1">
      <c r="A34" s="58" t="s">
        <v>11</v>
      </c>
      <c r="B34" s="57">
        <v>3788000000</v>
      </c>
      <c r="C34" s="57">
        <v>3788000000</v>
      </c>
      <c r="D34" s="57">
        <v>3788000000</v>
      </c>
      <c r="E34" s="57">
        <v>3788000000</v>
      </c>
      <c r="F34" s="57">
        <v>3788000000</v>
      </c>
      <c r="G34" s="104">
        <f>E34/B34*100</f>
        <v>100</v>
      </c>
      <c r="H34" s="104">
        <f>F34/C34*100</f>
        <v>100</v>
      </c>
      <c r="I34" s="104">
        <f>F34/D34*100</f>
        <v>100</v>
      </c>
    </row>
    <row r="35" spans="1:9" ht="26.25" customHeight="1">
      <c r="A35" s="58" t="s">
        <v>12</v>
      </c>
      <c r="B35" s="57">
        <v>267000000</v>
      </c>
      <c r="C35" s="57">
        <f>B35</f>
        <v>267000000</v>
      </c>
      <c r="D35" s="57">
        <f>C35</f>
        <v>267000000</v>
      </c>
      <c r="E35" s="57">
        <v>1981726336</v>
      </c>
      <c r="F35" s="57">
        <v>1981726336</v>
      </c>
      <c r="G35" s="93"/>
      <c r="H35" s="93"/>
      <c r="I35" s="103"/>
    </row>
    <row r="36" spans="1:9" ht="53.25" customHeight="1">
      <c r="A36" s="64" t="s">
        <v>198</v>
      </c>
      <c r="B36" s="65"/>
      <c r="C36" s="57"/>
      <c r="D36" s="57"/>
      <c r="E36" s="57">
        <v>240894315</v>
      </c>
      <c r="F36" s="57">
        <v>240894315</v>
      </c>
      <c r="G36" s="93"/>
      <c r="H36" s="93"/>
      <c r="I36" s="103"/>
    </row>
    <row r="37" spans="1:9" ht="34.5" customHeight="1">
      <c r="A37" s="60" t="s">
        <v>112</v>
      </c>
      <c r="B37" s="65"/>
      <c r="C37" s="57"/>
      <c r="D37" s="57"/>
      <c r="E37" s="57">
        <v>18000000</v>
      </c>
      <c r="F37" s="57">
        <v>18000000</v>
      </c>
      <c r="G37" s="93"/>
      <c r="H37" s="93"/>
      <c r="I37" s="103"/>
    </row>
    <row r="38" spans="1:9" ht="30">
      <c r="A38" s="60" t="s">
        <v>113</v>
      </c>
      <c r="B38" s="65"/>
      <c r="C38" s="57"/>
      <c r="D38" s="57"/>
      <c r="E38" s="57">
        <v>20000000</v>
      </c>
      <c r="F38" s="57">
        <v>20000000</v>
      </c>
      <c r="G38" s="93"/>
      <c r="H38" s="93"/>
      <c r="I38" s="103"/>
    </row>
    <row r="39" spans="1:9" ht="30">
      <c r="A39" s="60" t="s">
        <v>181</v>
      </c>
      <c r="B39" s="65"/>
      <c r="C39" s="57"/>
      <c r="D39" s="57"/>
      <c r="E39" s="57">
        <v>9000000</v>
      </c>
      <c r="F39" s="57">
        <v>9000000</v>
      </c>
      <c r="G39" s="93"/>
      <c r="H39" s="93"/>
      <c r="I39" s="103"/>
    </row>
    <row r="40" spans="1:9" ht="30">
      <c r="A40" s="60" t="s">
        <v>182</v>
      </c>
      <c r="B40" s="65"/>
      <c r="C40" s="57"/>
      <c r="D40" s="57"/>
      <c r="E40" s="57">
        <v>360000000</v>
      </c>
      <c r="F40" s="57">
        <v>360000000</v>
      </c>
      <c r="G40" s="93"/>
      <c r="H40" s="93"/>
      <c r="I40" s="103"/>
    </row>
    <row r="41" spans="1:9" ht="30">
      <c r="A41" s="60" t="s">
        <v>116</v>
      </c>
      <c r="B41" s="65"/>
      <c r="C41" s="57"/>
      <c r="D41" s="57"/>
      <c r="E41" s="57">
        <v>200000000</v>
      </c>
      <c r="F41" s="57">
        <v>200000000</v>
      </c>
      <c r="G41" s="93"/>
      <c r="H41" s="93"/>
      <c r="I41" s="103"/>
    </row>
    <row r="42" spans="1:9" ht="45">
      <c r="A42" s="60" t="s">
        <v>183</v>
      </c>
      <c r="B42" s="65"/>
      <c r="C42" s="57"/>
      <c r="D42" s="57"/>
      <c r="E42" s="57">
        <v>84000000</v>
      </c>
      <c r="F42" s="57">
        <v>84000000</v>
      </c>
      <c r="G42" s="93"/>
      <c r="H42" s="93"/>
      <c r="I42" s="103"/>
    </row>
    <row r="43" spans="1:9" ht="30">
      <c r="A43" s="60" t="s">
        <v>184</v>
      </c>
      <c r="B43" s="65"/>
      <c r="C43" s="57"/>
      <c r="D43" s="57"/>
      <c r="E43" s="57">
        <v>64488000</v>
      </c>
      <c r="F43" s="57">
        <v>64488000</v>
      </c>
      <c r="G43" s="55"/>
      <c r="H43" s="55"/>
      <c r="I43" s="103"/>
    </row>
    <row r="44" spans="1:9" ht="45" customHeight="1">
      <c r="A44" s="60" t="s">
        <v>185</v>
      </c>
      <c r="B44" s="65"/>
      <c r="C44" s="57"/>
      <c r="D44" s="57"/>
      <c r="E44" s="57">
        <v>20000000</v>
      </c>
      <c r="F44" s="57">
        <v>20000000</v>
      </c>
      <c r="G44" s="55"/>
      <c r="H44" s="55"/>
      <c r="I44" s="103"/>
    </row>
    <row r="45" spans="1:9" ht="45">
      <c r="A45" s="60" t="s">
        <v>186</v>
      </c>
      <c r="B45" s="65"/>
      <c r="C45" s="57"/>
      <c r="D45" s="57"/>
      <c r="E45" s="57">
        <v>30000000</v>
      </c>
      <c r="F45" s="57">
        <v>30000000</v>
      </c>
      <c r="G45" s="55"/>
      <c r="H45" s="55"/>
      <c r="I45" s="103"/>
    </row>
    <row r="46" spans="1:9" ht="30">
      <c r="A46" s="60" t="s">
        <v>120</v>
      </c>
      <c r="B46" s="65"/>
      <c r="C46" s="57"/>
      <c r="D46" s="57"/>
      <c r="E46" s="57">
        <v>50000000</v>
      </c>
      <c r="F46" s="57">
        <v>50000000</v>
      </c>
      <c r="G46" s="55"/>
      <c r="H46" s="55"/>
      <c r="I46" s="103"/>
    </row>
    <row r="47" spans="1:9" ht="45">
      <c r="A47" s="60" t="s">
        <v>175</v>
      </c>
      <c r="B47" s="65"/>
      <c r="C47" s="57"/>
      <c r="D47" s="57"/>
      <c r="E47" s="57">
        <f>160120000</f>
        <v>160120000</v>
      </c>
      <c r="F47" s="57">
        <f>160120000</f>
        <v>160120000</v>
      </c>
      <c r="G47" s="55"/>
      <c r="H47" s="55"/>
      <c r="I47" s="103"/>
    </row>
    <row r="48" spans="1:9" ht="30">
      <c r="A48" s="60" t="s">
        <v>187</v>
      </c>
      <c r="B48" s="65"/>
      <c r="C48" s="59"/>
      <c r="D48" s="59"/>
      <c r="E48" s="57">
        <v>265000000</v>
      </c>
      <c r="F48" s="57">
        <v>265000000</v>
      </c>
      <c r="G48" s="55"/>
      <c r="H48" s="55"/>
      <c r="I48" s="103"/>
    </row>
    <row r="49" spans="1:9" ht="30">
      <c r="A49" s="60" t="s">
        <v>177</v>
      </c>
      <c r="B49" s="65"/>
      <c r="C49" s="59"/>
      <c r="D49" s="59"/>
      <c r="E49" s="57">
        <v>56762000</v>
      </c>
      <c r="F49" s="57">
        <v>56762000</v>
      </c>
      <c r="G49" s="55"/>
      <c r="H49" s="55"/>
      <c r="I49" s="103"/>
    </row>
    <row r="50" spans="1:9" ht="33.75" customHeight="1">
      <c r="A50" s="60" t="s">
        <v>121</v>
      </c>
      <c r="B50" s="65"/>
      <c r="C50" s="59"/>
      <c r="D50" s="59"/>
      <c r="E50" s="57">
        <v>42940000</v>
      </c>
      <c r="F50" s="57">
        <v>42940000</v>
      </c>
      <c r="G50" s="55"/>
      <c r="H50" s="55"/>
      <c r="I50" s="103"/>
    </row>
    <row r="51" spans="1:9" ht="36" customHeight="1">
      <c r="A51" s="60" t="s">
        <v>122</v>
      </c>
      <c r="B51" s="65"/>
      <c r="C51" s="59"/>
      <c r="D51" s="59"/>
      <c r="E51" s="57">
        <v>90859021</v>
      </c>
      <c r="F51" s="57">
        <v>90859021</v>
      </c>
      <c r="G51" s="55"/>
      <c r="H51" s="55"/>
      <c r="I51" s="103"/>
    </row>
    <row r="52" spans="1:9" ht="21" customHeight="1">
      <c r="A52" s="60" t="s">
        <v>189</v>
      </c>
      <c r="B52" s="65"/>
      <c r="C52" s="59"/>
      <c r="D52" s="59"/>
      <c r="E52" s="57">
        <v>2663000</v>
      </c>
      <c r="F52" s="57">
        <v>2663000</v>
      </c>
      <c r="G52" s="55"/>
      <c r="H52" s="55"/>
      <c r="I52" s="103"/>
    </row>
    <row r="53" spans="1:9" ht="20.25" customHeight="1">
      <c r="A53" s="56" t="s">
        <v>188</v>
      </c>
      <c r="B53" s="59"/>
      <c r="C53" s="59"/>
      <c r="D53" s="59"/>
      <c r="E53" s="57">
        <v>267000000</v>
      </c>
      <c r="F53" s="57">
        <v>267000000</v>
      </c>
      <c r="G53" s="55"/>
      <c r="H53" s="55"/>
      <c r="I53" s="103"/>
    </row>
    <row r="54" spans="1:8" ht="16.5" customHeight="1">
      <c r="A54" s="13"/>
      <c r="B54" s="15"/>
      <c r="C54" s="15"/>
      <c r="D54" s="15"/>
      <c r="E54" s="17"/>
      <c r="F54" s="15"/>
      <c r="G54" s="16"/>
      <c r="H54" s="16"/>
    </row>
    <row r="55" spans="5:8" ht="16.5" customHeight="1">
      <c r="E55" s="136"/>
      <c r="F55" s="136"/>
      <c r="G55" s="136"/>
      <c r="H55" s="136"/>
    </row>
    <row r="56" spans="1:8" ht="16.5" customHeight="1">
      <c r="A56" s="14"/>
      <c r="E56" s="128"/>
      <c r="F56" s="128"/>
      <c r="G56" s="128"/>
      <c r="H56" s="128"/>
    </row>
    <row r="57" spans="5:8" ht="16.5" customHeight="1">
      <c r="E57" s="128"/>
      <c r="F57" s="128"/>
      <c r="G57" s="128"/>
      <c r="H57" s="128"/>
    </row>
    <row r="58" spans="5:8" ht="16.5" customHeight="1">
      <c r="E58" s="136"/>
      <c r="F58" s="136"/>
      <c r="G58" s="136"/>
      <c r="H58" s="136"/>
    </row>
    <row r="59" ht="16.5" customHeight="1"/>
    <row r="60" ht="16.5" customHeight="1"/>
    <row r="61" spans="1:8" ht="16.5" customHeight="1">
      <c r="A61" s="14"/>
      <c r="B61" s="10"/>
      <c r="C61" s="10"/>
      <c r="D61" s="10"/>
      <c r="E61" s="128"/>
      <c r="F61" s="128"/>
      <c r="G61" s="128"/>
      <c r="H61" s="128"/>
    </row>
  </sheetData>
  <sheetProtection/>
  <mergeCells count="12">
    <mergeCell ref="E61:H61"/>
    <mergeCell ref="E55:H55"/>
    <mergeCell ref="E56:H56"/>
    <mergeCell ref="E57:H57"/>
    <mergeCell ref="E58:H58"/>
    <mergeCell ref="A5:A7"/>
    <mergeCell ref="A2:I2"/>
    <mergeCell ref="F4:H4"/>
    <mergeCell ref="E5:F5"/>
    <mergeCell ref="B5:D5"/>
    <mergeCell ref="G5:I5"/>
    <mergeCell ref="A3:I3"/>
  </mergeCells>
  <printOptions/>
  <pageMargins left="0.5" right="0.2" top="0.23" bottom="0.2" header="0.5" footer="0.2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127"/>
  <sheetViews>
    <sheetView view="pageBreakPreview" zoomScale="118" zoomScaleSheetLayoutView="118" zoomScalePageLayoutView="0" workbookViewId="0" topLeftCell="A1">
      <selection activeCell="A3" sqref="A3:P3"/>
    </sheetView>
  </sheetViews>
  <sheetFormatPr defaultColWidth="8.88671875" defaultRowHeight="18.75"/>
  <cols>
    <col min="1" max="1" width="26.88671875" style="23" customWidth="1"/>
    <col min="2" max="3" width="11.3359375" style="23" customWidth="1"/>
    <col min="4" max="4" width="10.3359375" style="23" customWidth="1"/>
    <col min="5" max="6" width="11.21484375" style="23" customWidth="1"/>
    <col min="7" max="7" width="10.3359375" style="23" customWidth="1"/>
    <col min="8" max="8" width="11.21484375" style="23" customWidth="1"/>
    <col min="9" max="9" width="11.10546875" style="23" customWidth="1"/>
    <col min="10" max="10" width="10.4453125" style="23" customWidth="1"/>
    <col min="11" max="11" width="5.88671875" style="100" customWidth="1"/>
    <col min="12" max="12" width="5.77734375" style="100" customWidth="1"/>
    <col min="13" max="13" width="6.21484375" style="100" customWidth="1"/>
    <col min="14" max="14" width="5.88671875" style="100" customWidth="1"/>
    <col min="15" max="15" width="5.77734375" style="100" customWidth="1"/>
    <col min="16" max="16" width="6.21484375" style="100" customWidth="1"/>
    <col min="17" max="17" width="10.5546875" style="23" bestFit="1" customWidth="1"/>
    <col min="18" max="16384" width="8.88671875" style="23" customWidth="1"/>
  </cols>
  <sheetData>
    <row r="1" spans="1:16" ht="18.75" customHeight="1">
      <c r="A1" s="20"/>
      <c r="B1" s="20"/>
      <c r="C1" s="20"/>
      <c r="K1" s="145" t="s">
        <v>41</v>
      </c>
      <c r="L1" s="145"/>
      <c r="M1" s="145"/>
      <c r="N1" s="145" t="s">
        <v>41</v>
      </c>
      <c r="O1" s="145"/>
      <c r="P1" s="145"/>
    </row>
    <row r="2" spans="1:16" ht="16.5" customHeight="1">
      <c r="A2" s="151" t="s">
        <v>174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8" ht="15.75" customHeight="1">
      <c r="A3" s="130" t="s">
        <v>266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210"/>
      <c r="R3" s="210"/>
    </row>
    <row r="4" spans="8:16" ht="18.75" customHeight="1">
      <c r="H4" s="27">
        <f>Thu!F8-Chi!H8</f>
        <v>0</v>
      </c>
      <c r="I4" s="33"/>
      <c r="K4" s="146" t="s">
        <v>1</v>
      </c>
      <c r="L4" s="146"/>
      <c r="M4" s="146"/>
      <c r="N4" s="146" t="s">
        <v>1</v>
      </c>
      <c r="O4" s="146"/>
      <c r="P4" s="146"/>
    </row>
    <row r="5" spans="1:16" ht="27" customHeight="1">
      <c r="A5" s="108" t="s">
        <v>21</v>
      </c>
      <c r="B5" s="152" t="s">
        <v>22</v>
      </c>
      <c r="C5" s="152"/>
      <c r="D5" s="152"/>
      <c r="E5" s="152" t="s">
        <v>190</v>
      </c>
      <c r="F5" s="152"/>
      <c r="G5" s="152"/>
      <c r="H5" s="152" t="s">
        <v>3</v>
      </c>
      <c r="I5" s="152"/>
      <c r="J5" s="152"/>
      <c r="K5" s="147" t="s">
        <v>191</v>
      </c>
      <c r="L5" s="148"/>
      <c r="M5" s="148"/>
      <c r="N5" s="147" t="s">
        <v>192</v>
      </c>
      <c r="O5" s="148"/>
      <c r="P5" s="148"/>
    </row>
    <row r="6" spans="1:16" ht="12.75">
      <c r="A6" s="108"/>
      <c r="B6" s="108" t="s">
        <v>42</v>
      </c>
      <c r="C6" s="108" t="s">
        <v>43</v>
      </c>
      <c r="D6" s="108" t="s">
        <v>44</v>
      </c>
      <c r="E6" s="108" t="s">
        <v>42</v>
      </c>
      <c r="F6" s="108" t="s">
        <v>43</v>
      </c>
      <c r="G6" s="108" t="s">
        <v>44</v>
      </c>
      <c r="H6" s="108" t="s">
        <v>42</v>
      </c>
      <c r="I6" s="108" t="s">
        <v>43</v>
      </c>
      <c r="J6" s="108" t="s">
        <v>44</v>
      </c>
      <c r="K6" s="109" t="s">
        <v>42</v>
      </c>
      <c r="L6" s="109" t="s">
        <v>43</v>
      </c>
      <c r="M6" s="109" t="s">
        <v>44</v>
      </c>
      <c r="N6" s="109" t="s">
        <v>42</v>
      </c>
      <c r="O6" s="109" t="s">
        <v>43</v>
      </c>
      <c r="P6" s="109" t="s">
        <v>44</v>
      </c>
    </row>
    <row r="7" spans="1:16" ht="12.75">
      <c r="A7" s="84">
        <v>1</v>
      </c>
      <c r="B7" s="84">
        <v>2</v>
      </c>
      <c r="C7" s="84">
        <v>3</v>
      </c>
      <c r="D7" s="84">
        <v>4</v>
      </c>
      <c r="E7" s="84">
        <v>2</v>
      </c>
      <c r="F7" s="84">
        <v>3</v>
      </c>
      <c r="G7" s="84">
        <v>4</v>
      </c>
      <c r="H7" s="84">
        <v>5</v>
      </c>
      <c r="I7" s="84">
        <v>6</v>
      </c>
      <c r="J7" s="84">
        <v>7</v>
      </c>
      <c r="K7" s="95" t="s">
        <v>45</v>
      </c>
      <c r="L7" s="95" t="s">
        <v>46</v>
      </c>
      <c r="M7" s="95" t="s">
        <v>47</v>
      </c>
      <c r="N7" s="95" t="s">
        <v>193</v>
      </c>
      <c r="O7" s="95" t="s">
        <v>194</v>
      </c>
      <c r="P7" s="95" t="s">
        <v>195</v>
      </c>
    </row>
    <row r="8" spans="1:16" ht="16.5" customHeight="1">
      <c r="A8" s="81" t="s">
        <v>48</v>
      </c>
      <c r="B8" s="66">
        <f aca="true" t="shared" si="0" ref="B8:J8">B9+B118</f>
        <v>10357000000</v>
      </c>
      <c r="C8" s="66">
        <f t="shared" si="0"/>
        <v>5760000000</v>
      </c>
      <c r="D8" s="66">
        <f t="shared" si="0"/>
        <v>4597000000</v>
      </c>
      <c r="E8" s="66">
        <f>E9+E118</f>
        <v>17668000000</v>
      </c>
      <c r="F8" s="66">
        <f>F9+F118</f>
        <v>13071000000</v>
      </c>
      <c r="G8" s="66">
        <f>G9+G118</f>
        <v>4597000000</v>
      </c>
      <c r="H8" s="66">
        <f t="shared" si="0"/>
        <v>20871722276</v>
      </c>
      <c r="I8" s="66">
        <f t="shared" si="0"/>
        <v>11954117000</v>
      </c>
      <c r="J8" s="66">
        <f t="shared" si="0"/>
        <v>8917605276</v>
      </c>
      <c r="K8" s="96">
        <f>H8/B8*100</f>
        <v>201.52285677319685</v>
      </c>
      <c r="L8" s="96">
        <f>I8/C8*100</f>
        <v>207.5367534722222</v>
      </c>
      <c r="M8" s="96">
        <f>J8/D8*100</f>
        <v>193.98749784642158</v>
      </c>
      <c r="N8" s="96">
        <f aca="true" t="shared" si="1" ref="N8:P9">H8/E8*100</f>
        <v>118.13290851256508</v>
      </c>
      <c r="O8" s="96">
        <f t="shared" si="1"/>
        <v>91.45525973529188</v>
      </c>
      <c r="P8" s="96">
        <f t="shared" si="1"/>
        <v>193.98749784642158</v>
      </c>
    </row>
    <row r="9" spans="1:17" s="20" customFormat="1" ht="18.75" customHeight="1">
      <c r="A9" s="71" t="s">
        <v>100</v>
      </c>
      <c r="B9" s="39">
        <f aca="true" t="shared" si="2" ref="B9:J9">B10+B52+B53+B63+B81+B91+B92+B93+B94</f>
        <v>10357000000</v>
      </c>
      <c r="C9" s="39">
        <f t="shared" si="2"/>
        <v>5760000000</v>
      </c>
      <c r="D9" s="39">
        <f t="shared" si="2"/>
        <v>4597000000</v>
      </c>
      <c r="E9" s="39">
        <f>E10+E52+E53+E63+E81+E91+E92+E93+E94</f>
        <v>17668000000</v>
      </c>
      <c r="F9" s="39">
        <f>F10+F52+F53+F63+F81+F91+F92+F93+F94</f>
        <v>13071000000</v>
      </c>
      <c r="G9" s="39">
        <f>G10+G52+G53+G63+G81+G91+G92+G93+G94</f>
        <v>4597000000</v>
      </c>
      <c r="H9" s="39">
        <f t="shared" si="2"/>
        <v>20871722276</v>
      </c>
      <c r="I9" s="39">
        <f t="shared" si="2"/>
        <v>11954117000</v>
      </c>
      <c r="J9" s="39">
        <f t="shared" si="2"/>
        <v>8917605276</v>
      </c>
      <c r="K9" s="96">
        <f>H9/B9*100</f>
        <v>201.52285677319685</v>
      </c>
      <c r="L9" s="96">
        <f>L10+L13+L14+L15+L16+L17+L18+L23+L30</f>
        <v>0</v>
      </c>
      <c r="M9" s="96">
        <f>J9/D9*100</f>
        <v>193.98749784642158</v>
      </c>
      <c r="N9" s="96">
        <f t="shared" si="1"/>
        <v>118.13290851256508</v>
      </c>
      <c r="O9" s="96">
        <f t="shared" si="1"/>
        <v>91.45525973529188</v>
      </c>
      <c r="P9" s="96">
        <f t="shared" si="1"/>
        <v>193.98749784642158</v>
      </c>
      <c r="Q9" s="78"/>
    </row>
    <row r="10" spans="1:16" s="20" customFormat="1" ht="16.5" customHeight="1">
      <c r="A10" s="71" t="s">
        <v>66</v>
      </c>
      <c r="B10" s="39">
        <f aca="true" t="shared" si="3" ref="B10:J10">B11+B14+B15+B16+B17+B18+B19+B24+B31</f>
        <v>4463000000</v>
      </c>
      <c r="C10" s="39">
        <f t="shared" si="3"/>
        <v>0</v>
      </c>
      <c r="D10" s="39">
        <f t="shared" si="3"/>
        <v>4463000000</v>
      </c>
      <c r="E10" s="39">
        <f>E11+E14+E15+E16+E17+E18+E19+E24+E31</f>
        <v>4463000000</v>
      </c>
      <c r="F10" s="39">
        <f>F11+F14+F15+F16+F17+F18+F19+F24+F31</f>
        <v>0</v>
      </c>
      <c r="G10" s="39">
        <f>G11+G14+G15+G16+G17+G18+G19+G24+G31</f>
        <v>4463000000</v>
      </c>
      <c r="H10" s="39">
        <f t="shared" si="3"/>
        <v>4295351014</v>
      </c>
      <c r="I10" s="39">
        <f t="shared" si="3"/>
        <v>0</v>
      </c>
      <c r="J10" s="39">
        <f t="shared" si="3"/>
        <v>4295351014</v>
      </c>
      <c r="K10" s="96">
        <f>H10/B10*100</f>
        <v>96.24358086488908</v>
      </c>
      <c r="L10" s="96">
        <f>L11+L14+L15+L16+L17+L18+L19+L24+L31</f>
        <v>0</v>
      </c>
      <c r="M10" s="96">
        <f>J10/D10*100</f>
        <v>96.24358086488908</v>
      </c>
      <c r="N10" s="96">
        <f>H10/E10*100</f>
        <v>96.24358086488908</v>
      </c>
      <c r="O10" s="96"/>
      <c r="P10" s="96">
        <f>J10/G10*100</f>
        <v>96.24358086488908</v>
      </c>
    </row>
    <row r="11" spans="1:16" ht="25.5">
      <c r="A11" s="28" t="s">
        <v>49</v>
      </c>
      <c r="B11" s="42">
        <f>D11</f>
        <v>100000000</v>
      </c>
      <c r="C11" s="42"/>
      <c r="D11" s="42">
        <v>100000000</v>
      </c>
      <c r="E11" s="42">
        <f>G11</f>
        <v>100000000</v>
      </c>
      <c r="F11" s="42"/>
      <c r="G11" s="42">
        <v>100000000</v>
      </c>
      <c r="H11" s="42">
        <f>I11+J11</f>
        <v>90000000</v>
      </c>
      <c r="I11" s="42"/>
      <c r="J11" s="42">
        <v>90000000</v>
      </c>
      <c r="K11" s="97">
        <f>H11/B11*100</f>
        <v>90</v>
      </c>
      <c r="L11" s="96"/>
      <c r="M11" s="96">
        <f>J11/D11*100</f>
        <v>90</v>
      </c>
      <c r="N11" s="96">
        <f>H11/E11*100</f>
        <v>90</v>
      </c>
      <c r="O11" s="96"/>
      <c r="P11" s="96">
        <f>J11/G11*100</f>
        <v>90</v>
      </c>
    </row>
    <row r="12" spans="1:16" ht="16.5" customHeight="1">
      <c r="A12" s="77" t="s">
        <v>50</v>
      </c>
      <c r="B12" s="42">
        <f>D12</f>
        <v>0</v>
      </c>
      <c r="C12" s="42"/>
      <c r="D12" s="42"/>
      <c r="E12" s="42">
        <f>G12</f>
        <v>0</v>
      </c>
      <c r="F12" s="42"/>
      <c r="G12" s="42"/>
      <c r="H12" s="42">
        <f aca="true" t="shared" si="4" ref="H12:H30">I12+J12</f>
        <v>0</v>
      </c>
      <c r="I12" s="42"/>
      <c r="J12" s="42">
        <f>D12</f>
        <v>0</v>
      </c>
      <c r="K12" s="97"/>
      <c r="L12" s="96"/>
      <c r="M12" s="96"/>
      <c r="N12" s="97"/>
      <c r="O12" s="96"/>
      <c r="P12" s="96"/>
    </row>
    <row r="13" spans="1:16" ht="15.75" customHeight="1">
      <c r="A13" s="77" t="s">
        <v>51</v>
      </c>
      <c r="B13" s="42">
        <f>D13</f>
        <v>0</v>
      </c>
      <c r="C13" s="42"/>
      <c r="D13" s="42"/>
      <c r="E13" s="42">
        <f>G13</f>
        <v>0</v>
      </c>
      <c r="F13" s="42"/>
      <c r="G13" s="42"/>
      <c r="H13" s="42">
        <f t="shared" si="4"/>
        <v>0</v>
      </c>
      <c r="I13" s="42"/>
      <c r="J13" s="42">
        <f>D13</f>
        <v>0</v>
      </c>
      <c r="K13" s="97"/>
      <c r="L13" s="96"/>
      <c r="M13" s="96"/>
      <c r="N13" s="97"/>
      <c r="O13" s="96"/>
      <c r="P13" s="96"/>
    </row>
    <row r="14" spans="1:16" s="20" customFormat="1" ht="16.5" customHeight="1">
      <c r="A14" s="71" t="s">
        <v>69</v>
      </c>
      <c r="B14" s="39">
        <f>D14</f>
        <v>38000000</v>
      </c>
      <c r="C14" s="39"/>
      <c r="D14" s="39">
        <v>38000000</v>
      </c>
      <c r="E14" s="39">
        <f>G14</f>
        <v>38000000</v>
      </c>
      <c r="F14" s="39"/>
      <c r="G14" s="39">
        <v>38000000</v>
      </c>
      <c r="H14" s="39">
        <f t="shared" si="4"/>
        <v>24286000</v>
      </c>
      <c r="I14" s="39"/>
      <c r="J14" s="39">
        <f>'[1]ĐÀO TẠO CÁN BỘ'!$C$7-5700000-13789000</f>
        <v>24286000</v>
      </c>
      <c r="K14" s="96">
        <f aca="true" t="shared" si="5" ref="K14:K19">H14/B14*100</f>
        <v>63.910526315789475</v>
      </c>
      <c r="L14" s="96"/>
      <c r="M14" s="96">
        <f aca="true" t="shared" si="6" ref="M14:M19">J14/D14*100</f>
        <v>63.910526315789475</v>
      </c>
      <c r="N14" s="96">
        <f aca="true" t="shared" si="7" ref="N14:N19">H14/E14*100</f>
        <v>63.910526315789475</v>
      </c>
      <c r="O14" s="96"/>
      <c r="P14" s="96">
        <f aca="true" t="shared" si="8" ref="P14:P19">J14/G14*100</f>
        <v>63.910526315789475</v>
      </c>
    </row>
    <row r="15" spans="1:16" s="20" customFormat="1" ht="14.25" customHeight="1">
      <c r="A15" s="71" t="s">
        <v>82</v>
      </c>
      <c r="B15" s="39">
        <f aca="true" t="shared" si="9" ref="B15:B26">D15</f>
        <v>30000000</v>
      </c>
      <c r="C15" s="39"/>
      <c r="D15" s="39">
        <v>30000000</v>
      </c>
      <c r="E15" s="39">
        <f aca="true" t="shared" si="10" ref="E15:E26">G15</f>
        <v>30000000</v>
      </c>
      <c r="F15" s="39"/>
      <c r="G15" s="39">
        <v>30000000</v>
      </c>
      <c r="H15" s="39">
        <f t="shared" si="4"/>
        <v>27000000</v>
      </c>
      <c r="I15" s="39"/>
      <c r="J15" s="39">
        <v>27000000</v>
      </c>
      <c r="K15" s="96">
        <f t="shared" si="5"/>
        <v>90</v>
      </c>
      <c r="L15" s="96"/>
      <c r="M15" s="96">
        <f t="shared" si="6"/>
        <v>90</v>
      </c>
      <c r="N15" s="96">
        <f t="shared" si="7"/>
        <v>90</v>
      </c>
      <c r="O15" s="96"/>
      <c r="P15" s="96">
        <f t="shared" si="8"/>
        <v>90</v>
      </c>
    </row>
    <row r="16" spans="1:16" s="20" customFormat="1" ht="17.25" customHeight="1">
      <c r="A16" s="71" t="s">
        <v>83</v>
      </c>
      <c r="B16" s="39">
        <f t="shared" si="9"/>
        <v>85000000</v>
      </c>
      <c r="C16" s="39"/>
      <c r="D16" s="39">
        <v>85000000</v>
      </c>
      <c r="E16" s="39">
        <f t="shared" si="10"/>
        <v>85000000</v>
      </c>
      <c r="F16" s="39"/>
      <c r="G16" s="39">
        <v>85000000</v>
      </c>
      <c r="H16" s="39">
        <f t="shared" si="4"/>
        <v>76500000</v>
      </c>
      <c r="I16" s="67"/>
      <c r="J16" s="39">
        <f>85000000-8500000</f>
        <v>76500000</v>
      </c>
      <c r="K16" s="96">
        <f t="shared" si="5"/>
        <v>90</v>
      </c>
      <c r="L16" s="96"/>
      <c r="M16" s="96">
        <f t="shared" si="6"/>
        <v>90</v>
      </c>
      <c r="N16" s="96">
        <f t="shared" si="7"/>
        <v>90</v>
      </c>
      <c r="O16" s="96"/>
      <c r="P16" s="96">
        <f t="shared" si="8"/>
        <v>90</v>
      </c>
    </row>
    <row r="17" spans="1:16" s="20" customFormat="1" ht="15.75" customHeight="1">
      <c r="A17" s="71" t="s">
        <v>84</v>
      </c>
      <c r="B17" s="39">
        <f t="shared" si="9"/>
        <v>30000000</v>
      </c>
      <c r="C17" s="39"/>
      <c r="D17" s="39">
        <v>30000000</v>
      </c>
      <c r="E17" s="39">
        <f t="shared" si="10"/>
        <v>30000000</v>
      </c>
      <c r="F17" s="39"/>
      <c r="G17" s="39">
        <v>30000000</v>
      </c>
      <c r="H17" s="39">
        <f t="shared" si="4"/>
        <v>26590500</v>
      </c>
      <c r="I17" s="39"/>
      <c r="J17" s="39">
        <f>'[1]ĐÀI TRUYỀN THANH '!$C$7-'[1]ĐÀI TRUYỀN THANH '!$C$8</f>
        <v>26590500</v>
      </c>
      <c r="K17" s="96">
        <f t="shared" si="5"/>
        <v>88.63499999999999</v>
      </c>
      <c r="L17" s="96"/>
      <c r="M17" s="96">
        <f t="shared" si="6"/>
        <v>88.63499999999999</v>
      </c>
      <c r="N17" s="96">
        <f t="shared" si="7"/>
        <v>88.63499999999999</v>
      </c>
      <c r="O17" s="96"/>
      <c r="P17" s="96">
        <f t="shared" si="8"/>
        <v>88.63499999999999</v>
      </c>
    </row>
    <row r="18" spans="1:16" s="20" customFormat="1" ht="16.5" customHeight="1">
      <c r="A18" s="71" t="s">
        <v>85</v>
      </c>
      <c r="B18" s="39">
        <f t="shared" si="9"/>
        <v>16000000</v>
      </c>
      <c r="C18" s="39"/>
      <c r="D18" s="39">
        <v>16000000</v>
      </c>
      <c r="E18" s="39">
        <f t="shared" si="10"/>
        <v>16000000</v>
      </c>
      <c r="F18" s="39"/>
      <c r="G18" s="39">
        <v>16000000</v>
      </c>
      <c r="H18" s="39">
        <f t="shared" si="4"/>
        <v>14400000</v>
      </c>
      <c r="I18" s="39"/>
      <c r="J18" s="39">
        <f>16000000-1600000</f>
        <v>14400000</v>
      </c>
      <c r="K18" s="96">
        <f t="shared" si="5"/>
        <v>90</v>
      </c>
      <c r="L18" s="96"/>
      <c r="M18" s="96">
        <f t="shared" si="6"/>
        <v>90</v>
      </c>
      <c r="N18" s="96">
        <f t="shared" si="7"/>
        <v>90</v>
      </c>
      <c r="O18" s="96"/>
      <c r="P18" s="96">
        <f t="shared" si="8"/>
        <v>90</v>
      </c>
    </row>
    <row r="19" spans="1:16" s="20" customFormat="1" ht="16.5" customHeight="1">
      <c r="A19" s="71" t="s">
        <v>86</v>
      </c>
      <c r="B19" s="39">
        <f t="shared" si="9"/>
        <v>40000000</v>
      </c>
      <c r="C19" s="39"/>
      <c r="D19" s="39">
        <v>40000000</v>
      </c>
      <c r="E19" s="39">
        <f t="shared" si="10"/>
        <v>40000000</v>
      </c>
      <c r="F19" s="39"/>
      <c r="G19" s="39">
        <v>40000000</v>
      </c>
      <c r="H19" s="39">
        <f t="shared" si="4"/>
        <v>29960000</v>
      </c>
      <c r="I19" s="39"/>
      <c r="J19" s="39">
        <f>J23</f>
        <v>29960000</v>
      </c>
      <c r="K19" s="96">
        <f t="shared" si="5"/>
        <v>74.9</v>
      </c>
      <c r="L19" s="96"/>
      <c r="M19" s="96">
        <f t="shared" si="6"/>
        <v>74.9</v>
      </c>
      <c r="N19" s="96">
        <f t="shared" si="7"/>
        <v>74.9</v>
      </c>
      <c r="O19" s="96"/>
      <c r="P19" s="96">
        <f t="shared" si="8"/>
        <v>74.9</v>
      </c>
    </row>
    <row r="20" spans="1:16" ht="25.5">
      <c r="A20" s="38" t="s">
        <v>70</v>
      </c>
      <c r="B20" s="42">
        <f t="shared" si="9"/>
        <v>0</v>
      </c>
      <c r="C20" s="42"/>
      <c r="D20" s="42"/>
      <c r="E20" s="42">
        <f t="shared" si="10"/>
        <v>0</v>
      </c>
      <c r="F20" s="42"/>
      <c r="G20" s="42"/>
      <c r="H20" s="42">
        <f t="shared" si="4"/>
        <v>0</v>
      </c>
      <c r="I20" s="42"/>
      <c r="J20" s="42">
        <f>D20</f>
        <v>0</v>
      </c>
      <c r="K20" s="97"/>
      <c r="L20" s="96"/>
      <c r="M20" s="97"/>
      <c r="N20" s="97"/>
      <c r="O20" s="96"/>
      <c r="P20" s="97"/>
    </row>
    <row r="21" spans="1:16" ht="18" customHeight="1">
      <c r="A21" s="38" t="s">
        <v>71</v>
      </c>
      <c r="B21" s="42">
        <f t="shared" si="9"/>
        <v>0</v>
      </c>
      <c r="C21" s="42"/>
      <c r="D21" s="42"/>
      <c r="E21" s="42">
        <f t="shared" si="10"/>
        <v>0</v>
      </c>
      <c r="F21" s="42"/>
      <c r="G21" s="42"/>
      <c r="H21" s="42">
        <f t="shared" si="4"/>
        <v>0</v>
      </c>
      <c r="I21" s="42"/>
      <c r="J21" s="42">
        <f>D21</f>
        <v>0</v>
      </c>
      <c r="K21" s="97"/>
      <c r="L21" s="96"/>
      <c r="M21" s="97"/>
      <c r="N21" s="97"/>
      <c r="O21" s="96"/>
      <c r="P21" s="97"/>
    </row>
    <row r="22" spans="1:16" ht="17.25" customHeight="1">
      <c r="A22" s="77" t="s">
        <v>57</v>
      </c>
      <c r="B22" s="42">
        <f t="shared" si="9"/>
        <v>0</v>
      </c>
      <c r="C22" s="42"/>
      <c r="D22" s="42"/>
      <c r="E22" s="42">
        <f t="shared" si="10"/>
        <v>0</v>
      </c>
      <c r="F22" s="42"/>
      <c r="G22" s="42"/>
      <c r="H22" s="42">
        <f t="shared" si="4"/>
        <v>0</v>
      </c>
      <c r="I22" s="42"/>
      <c r="J22" s="42">
        <f>D22</f>
        <v>0</v>
      </c>
      <c r="K22" s="97"/>
      <c r="L22" s="96"/>
      <c r="M22" s="97"/>
      <c r="N22" s="97"/>
      <c r="O22" s="96"/>
      <c r="P22" s="97"/>
    </row>
    <row r="23" spans="1:16" ht="17.25" customHeight="1">
      <c r="A23" s="77" t="s">
        <v>58</v>
      </c>
      <c r="B23" s="42">
        <f t="shared" si="9"/>
        <v>40000000</v>
      </c>
      <c r="C23" s="42"/>
      <c r="D23" s="42">
        <v>40000000</v>
      </c>
      <c r="E23" s="42">
        <f t="shared" si="10"/>
        <v>40000000</v>
      </c>
      <c r="F23" s="42"/>
      <c r="G23" s="42">
        <v>40000000</v>
      </c>
      <c r="H23" s="42">
        <f t="shared" si="4"/>
        <v>29960000</v>
      </c>
      <c r="I23" s="42"/>
      <c r="J23" s="42">
        <f>'[1]ĐẢM BẢO XÃ HỘI'!$C$7-4000000</f>
        <v>29960000</v>
      </c>
      <c r="K23" s="97">
        <f>H23/B23*100</f>
        <v>74.9</v>
      </c>
      <c r="L23" s="96"/>
      <c r="M23" s="96">
        <f>J23/D23*100</f>
        <v>74.9</v>
      </c>
      <c r="N23" s="96">
        <f>H23/E23*100</f>
        <v>74.9</v>
      </c>
      <c r="O23" s="96"/>
      <c r="P23" s="96">
        <f>J23/G23*100</f>
        <v>74.9</v>
      </c>
    </row>
    <row r="24" spans="1:16" s="20" customFormat="1" ht="15.75" customHeight="1">
      <c r="A24" s="71" t="s">
        <v>87</v>
      </c>
      <c r="B24" s="39">
        <f t="shared" si="9"/>
        <v>70000000</v>
      </c>
      <c r="C24" s="39"/>
      <c r="D24" s="39">
        <f>D29+D30</f>
        <v>70000000</v>
      </c>
      <c r="E24" s="39">
        <f t="shared" si="10"/>
        <v>70000000</v>
      </c>
      <c r="F24" s="39"/>
      <c r="G24" s="39">
        <f>G29+G30</f>
        <v>70000000</v>
      </c>
      <c r="H24" s="39">
        <f>H29+H30</f>
        <v>54899909</v>
      </c>
      <c r="I24" s="39">
        <f>I29+I30</f>
        <v>0</v>
      </c>
      <c r="J24" s="39">
        <f>J29</f>
        <v>54899909</v>
      </c>
      <c r="K24" s="96">
        <f>H24/B24*100</f>
        <v>78.42844142857143</v>
      </c>
      <c r="L24" s="96"/>
      <c r="M24" s="96">
        <f>J24/D24*100</f>
        <v>78.42844142857143</v>
      </c>
      <c r="N24" s="96">
        <f>H24/E24*100</f>
        <v>78.42844142857143</v>
      </c>
      <c r="O24" s="96"/>
      <c r="P24" s="96">
        <f>J24/G24*100</f>
        <v>78.42844142857143</v>
      </c>
    </row>
    <row r="25" spans="1:16" ht="18" customHeight="1">
      <c r="A25" s="77" t="s">
        <v>52</v>
      </c>
      <c r="B25" s="42">
        <f t="shared" si="9"/>
        <v>0</v>
      </c>
      <c r="C25" s="42"/>
      <c r="D25" s="42"/>
      <c r="E25" s="42">
        <f t="shared" si="10"/>
        <v>0</v>
      </c>
      <c r="F25" s="42"/>
      <c r="G25" s="42"/>
      <c r="H25" s="42">
        <f t="shared" si="4"/>
        <v>0</v>
      </c>
      <c r="I25" s="42"/>
      <c r="J25" s="42">
        <f>D25</f>
        <v>0</v>
      </c>
      <c r="K25" s="97"/>
      <c r="L25" s="96"/>
      <c r="M25" s="96"/>
      <c r="N25" s="97"/>
      <c r="O25" s="96"/>
      <c r="P25" s="96"/>
    </row>
    <row r="26" spans="1:16" ht="16.5" customHeight="1">
      <c r="A26" s="77" t="s">
        <v>53</v>
      </c>
      <c r="B26" s="42">
        <f t="shared" si="9"/>
        <v>0</v>
      </c>
      <c r="C26" s="42"/>
      <c r="D26" s="42"/>
      <c r="E26" s="42">
        <f t="shared" si="10"/>
        <v>0</v>
      </c>
      <c r="F26" s="42"/>
      <c r="G26" s="42"/>
      <c r="H26" s="42">
        <f t="shared" si="4"/>
        <v>0</v>
      </c>
      <c r="I26" s="42"/>
      <c r="J26" s="42">
        <f>D26</f>
        <v>0</v>
      </c>
      <c r="K26" s="97"/>
      <c r="L26" s="96"/>
      <c r="M26" s="96"/>
      <c r="N26" s="97"/>
      <c r="O26" s="96"/>
      <c r="P26" s="96"/>
    </row>
    <row r="27" spans="1:16" ht="15.75" customHeight="1">
      <c r="A27" s="77" t="s">
        <v>54</v>
      </c>
      <c r="B27" s="42">
        <f>D27</f>
        <v>0</v>
      </c>
      <c r="C27" s="42"/>
      <c r="D27" s="42"/>
      <c r="E27" s="42">
        <f>G27</f>
        <v>0</v>
      </c>
      <c r="F27" s="42"/>
      <c r="G27" s="42"/>
      <c r="H27" s="42">
        <f t="shared" si="4"/>
        <v>0</v>
      </c>
      <c r="I27" s="42"/>
      <c r="J27" s="42">
        <f>D27</f>
        <v>0</v>
      </c>
      <c r="K27" s="97"/>
      <c r="L27" s="96"/>
      <c r="M27" s="96"/>
      <c r="N27" s="97"/>
      <c r="O27" s="96"/>
      <c r="P27" s="96"/>
    </row>
    <row r="28" spans="1:16" ht="15.75" customHeight="1">
      <c r="A28" s="77" t="s">
        <v>55</v>
      </c>
      <c r="B28" s="42">
        <f>D28</f>
        <v>0</v>
      </c>
      <c r="C28" s="42"/>
      <c r="D28" s="42"/>
      <c r="E28" s="42">
        <f>G28</f>
        <v>0</v>
      </c>
      <c r="F28" s="42"/>
      <c r="G28" s="42"/>
      <c r="H28" s="42">
        <f t="shared" si="4"/>
        <v>0</v>
      </c>
      <c r="I28" s="42"/>
      <c r="J28" s="42">
        <f>D28</f>
        <v>0</v>
      </c>
      <c r="K28" s="97"/>
      <c r="L28" s="96"/>
      <c r="M28" s="96"/>
      <c r="N28" s="97"/>
      <c r="O28" s="96"/>
      <c r="P28" s="96"/>
    </row>
    <row r="29" spans="1:16" ht="16.5" customHeight="1">
      <c r="A29" s="79" t="s">
        <v>56</v>
      </c>
      <c r="B29" s="42">
        <f>D29</f>
        <v>61000000</v>
      </c>
      <c r="C29" s="42"/>
      <c r="D29" s="42">
        <v>61000000</v>
      </c>
      <c r="E29" s="42">
        <f>G29</f>
        <v>61000000</v>
      </c>
      <c r="F29" s="42"/>
      <c r="G29" s="42">
        <v>61000000</v>
      </c>
      <c r="H29" s="42">
        <f t="shared" si="4"/>
        <v>54899909</v>
      </c>
      <c r="I29" s="42"/>
      <c r="J29" s="42">
        <f>'[1]SNKT'!$C$9-'[1]SNKT'!$C$10</f>
        <v>54899909</v>
      </c>
      <c r="K29" s="97">
        <f aca="true" t="shared" si="11" ref="K29:K39">H29/B29*100</f>
        <v>89.99985081967213</v>
      </c>
      <c r="L29" s="96"/>
      <c r="M29" s="97">
        <f aca="true" t="shared" si="12" ref="M29:M39">J29/D29*100</f>
        <v>89.99985081967213</v>
      </c>
      <c r="N29" s="96">
        <f aca="true" t="shared" si="13" ref="N29:N38">H29/E29*100</f>
        <v>89.99985081967213</v>
      </c>
      <c r="O29" s="96"/>
      <c r="P29" s="96">
        <f aca="true" t="shared" si="14" ref="P29:P38">J29/G29*100</f>
        <v>89.99985081967213</v>
      </c>
    </row>
    <row r="30" spans="1:16" ht="15" customHeight="1">
      <c r="A30" s="79" t="s">
        <v>63</v>
      </c>
      <c r="B30" s="42">
        <f>D30</f>
        <v>9000000</v>
      </c>
      <c r="C30" s="42"/>
      <c r="D30" s="42">
        <v>9000000</v>
      </c>
      <c r="E30" s="42">
        <f>G30</f>
        <v>9000000</v>
      </c>
      <c r="F30" s="42"/>
      <c r="G30" s="42">
        <v>9000000</v>
      </c>
      <c r="H30" s="42">
        <f t="shared" si="4"/>
        <v>0</v>
      </c>
      <c r="I30" s="42"/>
      <c r="J30" s="42">
        <v>0</v>
      </c>
      <c r="K30" s="97">
        <f t="shared" si="11"/>
        <v>0</v>
      </c>
      <c r="L30" s="96"/>
      <c r="M30" s="97">
        <f t="shared" si="12"/>
        <v>0</v>
      </c>
      <c r="N30" s="96">
        <f t="shared" si="13"/>
        <v>0</v>
      </c>
      <c r="O30" s="96"/>
      <c r="P30" s="96">
        <f t="shared" si="14"/>
        <v>0</v>
      </c>
    </row>
    <row r="31" spans="1:16" s="20" customFormat="1" ht="21.75" customHeight="1">
      <c r="A31" s="82" t="s">
        <v>88</v>
      </c>
      <c r="B31" s="39">
        <f aca="true" t="shared" si="15" ref="B31:J31">B32+B48+B51</f>
        <v>4054000000</v>
      </c>
      <c r="C31" s="39">
        <f t="shared" si="15"/>
        <v>0</v>
      </c>
      <c r="D31" s="39">
        <f t="shared" si="15"/>
        <v>4054000000</v>
      </c>
      <c r="E31" s="39">
        <f>E32+E48+E51</f>
        <v>4054000000</v>
      </c>
      <c r="F31" s="39">
        <f>F32+F48+F51</f>
        <v>0</v>
      </c>
      <c r="G31" s="39">
        <f>G32+G48+G51</f>
        <v>4054000000</v>
      </c>
      <c r="H31" s="39">
        <f t="shared" si="15"/>
        <v>3951714605</v>
      </c>
      <c r="I31" s="39">
        <f t="shared" si="15"/>
        <v>0</v>
      </c>
      <c r="J31" s="39">
        <f t="shared" si="15"/>
        <v>3951714605</v>
      </c>
      <c r="K31" s="96">
        <f t="shared" si="11"/>
        <v>97.47692661568821</v>
      </c>
      <c r="L31" s="96">
        <f>L32+L48+L51</f>
        <v>0</v>
      </c>
      <c r="M31" s="96">
        <f t="shared" si="12"/>
        <v>97.47692661568821</v>
      </c>
      <c r="N31" s="96">
        <f t="shared" si="13"/>
        <v>97.47692661568821</v>
      </c>
      <c r="O31" s="96"/>
      <c r="P31" s="96">
        <f t="shared" si="14"/>
        <v>97.47692661568821</v>
      </c>
    </row>
    <row r="32" spans="1:16" s="20" customFormat="1" ht="19.5" customHeight="1">
      <c r="A32" s="82" t="s">
        <v>89</v>
      </c>
      <c r="B32" s="39">
        <f aca="true" t="shared" si="16" ref="B32:J32">B33+B34+B37+B45+B46+B47</f>
        <v>829000000</v>
      </c>
      <c r="C32" s="39">
        <f t="shared" si="16"/>
        <v>0</v>
      </c>
      <c r="D32" s="39">
        <f t="shared" si="16"/>
        <v>829000000</v>
      </c>
      <c r="E32" s="39">
        <f>E33+E34+E37+E45+E46+E47</f>
        <v>829000000</v>
      </c>
      <c r="F32" s="39">
        <f>F33+F34+F37+F45+F46+F47</f>
        <v>0</v>
      </c>
      <c r="G32" s="39">
        <f>G33+G34+G37+G45+G46+G47</f>
        <v>829000000</v>
      </c>
      <c r="H32" s="39">
        <f t="shared" si="16"/>
        <v>739310355</v>
      </c>
      <c r="I32" s="39">
        <f t="shared" si="16"/>
        <v>0</v>
      </c>
      <c r="J32" s="39">
        <f t="shared" si="16"/>
        <v>739310355</v>
      </c>
      <c r="K32" s="97">
        <f t="shared" si="11"/>
        <v>89.18098371531966</v>
      </c>
      <c r="L32" s="96">
        <f>L33+L34+L37+L45+L46+L47</f>
        <v>0</v>
      </c>
      <c r="M32" s="97">
        <f t="shared" si="12"/>
        <v>89.18098371531966</v>
      </c>
      <c r="N32" s="96">
        <f t="shared" si="13"/>
        <v>89.18098371531966</v>
      </c>
      <c r="O32" s="96"/>
      <c r="P32" s="96">
        <f t="shared" si="14"/>
        <v>89.18098371531966</v>
      </c>
    </row>
    <row r="33" spans="1:16" ht="18.75" customHeight="1">
      <c r="A33" s="77" t="s">
        <v>90</v>
      </c>
      <c r="B33" s="42">
        <f>D33</f>
        <v>452000000</v>
      </c>
      <c r="C33" s="42"/>
      <c r="D33" s="42">
        <v>452000000</v>
      </c>
      <c r="E33" s="42">
        <f>G33</f>
        <v>452000000</v>
      </c>
      <c r="F33" s="42"/>
      <c r="G33" s="42">
        <v>452000000</v>
      </c>
      <c r="H33" s="42">
        <f>I33+J33</f>
        <v>391395355</v>
      </c>
      <c r="I33" s="42"/>
      <c r="J33" s="42">
        <f>389185355+2200000+10000</f>
        <v>391395355</v>
      </c>
      <c r="K33" s="97">
        <f t="shared" si="11"/>
        <v>86.59189269911505</v>
      </c>
      <c r="L33" s="96"/>
      <c r="M33" s="97">
        <f t="shared" si="12"/>
        <v>86.59189269911505</v>
      </c>
      <c r="N33" s="96">
        <f t="shared" si="13"/>
        <v>86.59189269911505</v>
      </c>
      <c r="O33" s="96"/>
      <c r="P33" s="96">
        <f t="shared" si="14"/>
        <v>86.59189269911505</v>
      </c>
    </row>
    <row r="34" spans="1:16" ht="20.25" customHeight="1">
      <c r="A34" s="77" t="s">
        <v>91</v>
      </c>
      <c r="B34" s="42">
        <f aca="true" t="shared" si="17" ref="B34:J34">B35+B36</f>
        <v>8000000</v>
      </c>
      <c r="C34" s="42">
        <f t="shared" si="17"/>
        <v>0</v>
      </c>
      <c r="D34" s="42">
        <f t="shared" si="17"/>
        <v>8000000</v>
      </c>
      <c r="E34" s="42">
        <f>E35+E36</f>
        <v>8000000</v>
      </c>
      <c r="F34" s="42">
        <f>F35+F36</f>
        <v>0</v>
      </c>
      <c r="G34" s="42">
        <f>G35+G36</f>
        <v>8000000</v>
      </c>
      <c r="H34" s="42">
        <f t="shared" si="17"/>
        <v>7200000</v>
      </c>
      <c r="I34" s="42">
        <f t="shared" si="17"/>
        <v>0</v>
      </c>
      <c r="J34" s="42">
        <f t="shared" si="17"/>
        <v>7200000</v>
      </c>
      <c r="K34" s="97">
        <f t="shared" si="11"/>
        <v>90</v>
      </c>
      <c r="L34" s="96"/>
      <c r="M34" s="97">
        <f t="shared" si="12"/>
        <v>90</v>
      </c>
      <c r="N34" s="96">
        <f t="shared" si="13"/>
        <v>90</v>
      </c>
      <c r="O34" s="96"/>
      <c r="P34" s="96">
        <f t="shared" si="14"/>
        <v>90</v>
      </c>
    </row>
    <row r="35" spans="1:16" ht="18" customHeight="1">
      <c r="A35" s="38" t="s">
        <v>73</v>
      </c>
      <c r="B35" s="42">
        <v>5000000</v>
      </c>
      <c r="C35" s="42"/>
      <c r="D35" s="42">
        <v>5000000</v>
      </c>
      <c r="E35" s="42">
        <v>5000000</v>
      </c>
      <c r="F35" s="42"/>
      <c r="G35" s="42">
        <v>5000000</v>
      </c>
      <c r="H35" s="42">
        <f>I35+J35</f>
        <v>4500000</v>
      </c>
      <c r="I35" s="42"/>
      <c r="J35" s="42">
        <v>4500000</v>
      </c>
      <c r="K35" s="97">
        <f t="shared" si="11"/>
        <v>90</v>
      </c>
      <c r="L35" s="96"/>
      <c r="M35" s="97">
        <f t="shared" si="12"/>
        <v>90</v>
      </c>
      <c r="N35" s="96">
        <f t="shared" si="13"/>
        <v>90</v>
      </c>
      <c r="O35" s="96"/>
      <c r="P35" s="96">
        <f t="shared" si="14"/>
        <v>90</v>
      </c>
    </row>
    <row r="36" spans="1:16" ht="16.5" customHeight="1">
      <c r="A36" s="38" t="s">
        <v>74</v>
      </c>
      <c r="B36" s="42">
        <f>D36</f>
        <v>3000000</v>
      </c>
      <c r="C36" s="42"/>
      <c r="D36" s="42">
        <v>3000000</v>
      </c>
      <c r="E36" s="42">
        <f>G36</f>
        <v>3000000</v>
      </c>
      <c r="F36" s="42"/>
      <c r="G36" s="42">
        <v>3000000</v>
      </c>
      <c r="H36" s="42">
        <f>I36+J36</f>
        <v>2700000</v>
      </c>
      <c r="I36" s="42"/>
      <c r="J36" s="42">
        <v>2700000</v>
      </c>
      <c r="K36" s="97">
        <f t="shared" si="11"/>
        <v>90</v>
      </c>
      <c r="L36" s="96"/>
      <c r="M36" s="97">
        <f t="shared" si="12"/>
        <v>90</v>
      </c>
      <c r="N36" s="96">
        <f t="shared" si="13"/>
        <v>90</v>
      </c>
      <c r="O36" s="96"/>
      <c r="P36" s="96">
        <f t="shared" si="14"/>
        <v>90</v>
      </c>
    </row>
    <row r="37" spans="1:16" s="20" customFormat="1" ht="18.75" customHeight="1">
      <c r="A37" s="71" t="s">
        <v>92</v>
      </c>
      <c r="B37" s="39">
        <f aca="true" t="shared" si="18" ref="B37:J37">B38+B39</f>
        <v>246000000</v>
      </c>
      <c r="C37" s="39">
        <f t="shared" si="18"/>
        <v>0</v>
      </c>
      <c r="D37" s="39">
        <f t="shared" si="18"/>
        <v>246000000</v>
      </c>
      <c r="E37" s="39">
        <f>E38+E39</f>
        <v>246000000</v>
      </c>
      <c r="F37" s="39">
        <f>F38+F39</f>
        <v>0</v>
      </c>
      <c r="G37" s="39">
        <f>G38+G39</f>
        <v>246000000</v>
      </c>
      <c r="H37" s="39">
        <f t="shared" si="18"/>
        <v>238300000</v>
      </c>
      <c r="I37" s="39">
        <f t="shared" si="18"/>
        <v>0</v>
      </c>
      <c r="J37" s="39">
        <f t="shared" si="18"/>
        <v>238300000</v>
      </c>
      <c r="K37" s="96">
        <f t="shared" si="11"/>
        <v>96.869918699187</v>
      </c>
      <c r="L37" s="96"/>
      <c r="M37" s="96">
        <f t="shared" si="12"/>
        <v>96.869918699187</v>
      </c>
      <c r="N37" s="96">
        <f t="shared" si="13"/>
        <v>96.869918699187</v>
      </c>
      <c r="O37" s="96"/>
      <c r="P37" s="96">
        <f t="shared" si="14"/>
        <v>96.869918699187</v>
      </c>
    </row>
    <row r="38" spans="1:16" ht="15.75" customHeight="1">
      <c r="A38" s="79" t="s">
        <v>75</v>
      </c>
      <c r="B38" s="42">
        <f>D38</f>
        <v>171000000</v>
      </c>
      <c r="C38" s="42"/>
      <c r="D38" s="42">
        <f>246000000-75000000</f>
        <v>171000000</v>
      </c>
      <c r="E38" s="42">
        <f>G38</f>
        <v>171000000</v>
      </c>
      <c r="F38" s="42"/>
      <c r="G38" s="42">
        <f>246000000-75000000</f>
        <v>171000000</v>
      </c>
      <c r="H38" s="42">
        <f>I38+J38</f>
        <v>170800000</v>
      </c>
      <c r="I38" s="42"/>
      <c r="J38" s="42">
        <v>170800000</v>
      </c>
      <c r="K38" s="97">
        <f t="shared" si="11"/>
        <v>99.88304093567251</v>
      </c>
      <c r="L38" s="96"/>
      <c r="M38" s="97">
        <f t="shared" si="12"/>
        <v>99.88304093567251</v>
      </c>
      <c r="N38" s="96">
        <f t="shared" si="13"/>
        <v>99.88304093567251</v>
      </c>
      <c r="O38" s="96"/>
      <c r="P38" s="96">
        <f t="shared" si="14"/>
        <v>99.88304093567251</v>
      </c>
    </row>
    <row r="39" spans="1:16" s="20" customFormat="1" ht="21" customHeight="1">
      <c r="A39" s="83" t="s">
        <v>76</v>
      </c>
      <c r="B39" s="67">
        <f aca="true" t="shared" si="19" ref="B39:J39">SUM(B40:B44)</f>
        <v>75000000</v>
      </c>
      <c r="C39" s="67">
        <f t="shared" si="19"/>
        <v>0</v>
      </c>
      <c r="D39" s="67">
        <f t="shared" si="19"/>
        <v>75000000</v>
      </c>
      <c r="E39" s="67">
        <f>SUM(E40:E44)</f>
        <v>75000000</v>
      </c>
      <c r="F39" s="67">
        <f>SUM(F40:F44)</f>
        <v>0</v>
      </c>
      <c r="G39" s="67">
        <f>SUM(G40:G44)</f>
        <v>75000000</v>
      </c>
      <c r="H39" s="67">
        <f t="shared" si="19"/>
        <v>67500000</v>
      </c>
      <c r="I39" s="67">
        <f t="shared" si="19"/>
        <v>0</v>
      </c>
      <c r="J39" s="67">
        <f t="shared" si="19"/>
        <v>67500000</v>
      </c>
      <c r="K39" s="96">
        <f t="shared" si="11"/>
        <v>90</v>
      </c>
      <c r="L39" s="96"/>
      <c r="M39" s="96">
        <f t="shared" si="12"/>
        <v>90</v>
      </c>
      <c r="N39" s="96">
        <f>K39/E39*100</f>
        <v>0.00011999999999999999</v>
      </c>
      <c r="O39" s="96"/>
      <c r="P39" s="96">
        <f>M39/G39*100</f>
        <v>0.00011999999999999999</v>
      </c>
    </row>
    <row r="40" spans="1:16" ht="18.75" customHeight="1">
      <c r="A40" s="79" t="s">
        <v>77</v>
      </c>
      <c r="B40" s="42">
        <f aca="true" t="shared" si="20" ref="B40:B45">D40</f>
        <v>15000000</v>
      </c>
      <c r="C40" s="42"/>
      <c r="D40" s="42">
        <v>15000000</v>
      </c>
      <c r="E40" s="42">
        <f aca="true" t="shared" si="21" ref="E40:E45">G40</f>
        <v>15000000</v>
      </c>
      <c r="F40" s="42"/>
      <c r="G40" s="42">
        <v>15000000</v>
      </c>
      <c r="H40" s="42">
        <f aca="true" t="shared" si="22" ref="H40:H47">I40+J40</f>
        <v>13500000</v>
      </c>
      <c r="I40" s="42"/>
      <c r="J40" s="42">
        <v>13500000</v>
      </c>
      <c r="K40" s="97">
        <f aca="true" t="shared" si="23" ref="K40:K46">H40/B40*100</f>
        <v>90</v>
      </c>
      <c r="L40" s="96"/>
      <c r="M40" s="97">
        <f aca="true" t="shared" si="24" ref="M40:M46">J40/D40*100</f>
        <v>90</v>
      </c>
      <c r="N40" s="96">
        <f aca="true" t="shared" si="25" ref="N40:N46">H40/E40*100</f>
        <v>90</v>
      </c>
      <c r="O40" s="96"/>
      <c r="P40" s="96">
        <f aca="true" t="shared" si="26" ref="P40:P46">J40/G40*100</f>
        <v>90</v>
      </c>
    </row>
    <row r="41" spans="1:16" ht="18" customHeight="1">
      <c r="A41" s="79" t="s">
        <v>78</v>
      </c>
      <c r="B41" s="42">
        <f t="shared" si="20"/>
        <v>15000000</v>
      </c>
      <c r="C41" s="42"/>
      <c r="D41" s="42">
        <v>15000000</v>
      </c>
      <c r="E41" s="42">
        <f t="shared" si="21"/>
        <v>15000000</v>
      </c>
      <c r="F41" s="42"/>
      <c r="G41" s="42">
        <v>15000000</v>
      </c>
      <c r="H41" s="42">
        <f t="shared" si="22"/>
        <v>13500000</v>
      </c>
      <c r="I41" s="42"/>
      <c r="J41" s="42">
        <v>13500000</v>
      </c>
      <c r="K41" s="97">
        <f t="shared" si="23"/>
        <v>90</v>
      </c>
      <c r="L41" s="96"/>
      <c r="M41" s="97">
        <f t="shared" si="24"/>
        <v>90</v>
      </c>
      <c r="N41" s="96">
        <f t="shared" si="25"/>
        <v>90</v>
      </c>
      <c r="O41" s="96"/>
      <c r="P41" s="96">
        <f t="shared" si="26"/>
        <v>90</v>
      </c>
    </row>
    <row r="42" spans="1:16" ht="21" customHeight="1">
      <c r="A42" s="79" t="s">
        <v>79</v>
      </c>
      <c r="B42" s="42">
        <f t="shared" si="20"/>
        <v>15000000</v>
      </c>
      <c r="C42" s="42"/>
      <c r="D42" s="42">
        <v>15000000</v>
      </c>
      <c r="E42" s="42">
        <f t="shared" si="21"/>
        <v>15000000</v>
      </c>
      <c r="F42" s="42"/>
      <c r="G42" s="42">
        <v>15000000</v>
      </c>
      <c r="H42" s="42">
        <f t="shared" si="22"/>
        <v>13500000</v>
      </c>
      <c r="I42" s="42"/>
      <c r="J42" s="42">
        <v>13500000</v>
      </c>
      <c r="K42" s="97">
        <f t="shared" si="23"/>
        <v>90</v>
      </c>
      <c r="L42" s="96"/>
      <c r="M42" s="97">
        <f t="shared" si="24"/>
        <v>90</v>
      </c>
      <c r="N42" s="96">
        <f t="shared" si="25"/>
        <v>90</v>
      </c>
      <c r="O42" s="96"/>
      <c r="P42" s="96">
        <f t="shared" si="26"/>
        <v>90</v>
      </c>
    </row>
    <row r="43" spans="1:16" ht="21.75" customHeight="1">
      <c r="A43" s="79" t="s">
        <v>80</v>
      </c>
      <c r="B43" s="42">
        <f t="shared" si="20"/>
        <v>15000000</v>
      </c>
      <c r="C43" s="42"/>
      <c r="D43" s="42">
        <v>15000000</v>
      </c>
      <c r="E43" s="42">
        <f t="shared" si="21"/>
        <v>15000000</v>
      </c>
      <c r="F43" s="42"/>
      <c r="G43" s="42">
        <v>15000000</v>
      </c>
      <c r="H43" s="42">
        <f t="shared" si="22"/>
        <v>13500000</v>
      </c>
      <c r="I43" s="42"/>
      <c r="J43" s="42">
        <v>13500000</v>
      </c>
      <c r="K43" s="97">
        <f t="shared" si="23"/>
        <v>90</v>
      </c>
      <c r="L43" s="96"/>
      <c r="M43" s="97">
        <f t="shared" si="24"/>
        <v>90</v>
      </c>
      <c r="N43" s="96">
        <f t="shared" si="25"/>
        <v>90</v>
      </c>
      <c r="O43" s="96"/>
      <c r="P43" s="96">
        <f t="shared" si="26"/>
        <v>90</v>
      </c>
    </row>
    <row r="44" spans="1:16" ht="17.25" customHeight="1">
      <c r="A44" s="79" t="s">
        <v>81</v>
      </c>
      <c r="B44" s="42">
        <f t="shared" si="20"/>
        <v>15000000</v>
      </c>
      <c r="C44" s="42"/>
      <c r="D44" s="42">
        <v>15000000</v>
      </c>
      <c r="E44" s="42">
        <f t="shared" si="21"/>
        <v>15000000</v>
      </c>
      <c r="F44" s="42"/>
      <c r="G44" s="42">
        <v>15000000</v>
      </c>
      <c r="H44" s="42">
        <f t="shared" si="22"/>
        <v>13500000</v>
      </c>
      <c r="I44" s="42"/>
      <c r="J44" s="42">
        <v>13500000</v>
      </c>
      <c r="K44" s="97">
        <f t="shared" si="23"/>
        <v>90</v>
      </c>
      <c r="L44" s="96"/>
      <c r="M44" s="97">
        <f t="shared" si="24"/>
        <v>90</v>
      </c>
      <c r="N44" s="96">
        <f t="shared" si="25"/>
        <v>90</v>
      </c>
      <c r="O44" s="96"/>
      <c r="P44" s="96">
        <f t="shared" si="26"/>
        <v>90</v>
      </c>
    </row>
    <row r="45" spans="1:16" ht="19.5" customHeight="1">
      <c r="A45" s="77" t="s">
        <v>93</v>
      </c>
      <c r="B45" s="42">
        <f t="shared" si="20"/>
        <v>18000000</v>
      </c>
      <c r="C45" s="42"/>
      <c r="D45" s="42">
        <v>18000000</v>
      </c>
      <c r="E45" s="42">
        <f t="shared" si="21"/>
        <v>18000000</v>
      </c>
      <c r="F45" s="42"/>
      <c r="G45" s="42">
        <v>18000000</v>
      </c>
      <c r="H45" s="42">
        <f t="shared" si="22"/>
        <v>7915000</v>
      </c>
      <c r="I45" s="42"/>
      <c r="J45" s="42">
        <f>'[1]CÔNG TÁC HÒA GIẢI CƠ SỞ'!$C$7-'[1]CÔNG TÁC HÒA GIẢI CƠ SỞ'!$C$8-7595000</f>
        <v>7915000</v>
      </c>
      <c r="K45" s="97">
        <f t="shared" si="23"/>
        <v>43.97222222222222</v>
      </c>
      <c r="L45" s="96"/>
      <c r="M45" s="97">
        <f t="shared" si="24"/>
        <v>43.97222222222222</v>
      </c>
      <c r="N45" s="96">
        <f t="shared" si="25"/>
        <v>43.97222222222222</v>
      </c>
      <c r="O45" s="96"/>
      <c r="P45" s="96">
        <f t="shared" si="26"/>
        <v>43.97222222222222</v>
      </c>
    </row>
    <row r="46" spans="1:16" ht="19.5" customHeight="1">
      <c r="A46" s="77" t="s">
        <v>147</v>
      </c>
      <c r="B46" s="42">
        <v>100000000</v>
      </c>
      <c r="C46" s="42"/>
      <c r="D46" s="42">
        <v>100000000</v>
      </c>
      <c r="E46" s="42">
        <v>100000000</v>
      </c>
      <c r="F46" s="42"/>
      <c r="G46" s="42">
        <v>100000000</v>
      </c>
      <c r="H46" s="42">
        <f t="shared" si="22"/>
        <v>90000000</v>
      </c>
      <c r="I46" s="42"/>
      <c r="J46" s="42">
        <v>90000000</v>
      </c>
      <c r="K46" s="97">
        <f t="shared" si="23"/>
        <v>90</v>
      </c>
      <c r="L46" s="96"/>
      <c r="M46" s="97">
        <f t="shared" si="24"/>
        <v>90</v>
      </c>
      <c r="N46" s="96">
        <f t="shared" si="25"/>
        <v>90</v>
      </c>
      <c r="O46" s="96"/>
      <c r="P46" s="96">
        <f t="shared" si="26"/>
        <v>90</v>
      </c>
    </row>
    <row r="47" spans="1:16" ht="17.25" customHeight="1">
      <c r="A47" s="28" t="s">
        <v>94</v>
      </c>
      <c r="B47" s="42">
        <f>D47</f>
        <v>5000000</v>
      </c>
      <c r="C47" s="42"/>
      <c r="D47" s="42">
        <v>5000000</v>
      </c>
      <c r="E47" s="42">
        <f>G47</f>
        <v>5000000</v>
      </c>
      <c r="F47" s="42"/>
      <c r="G47" s="42">
        <v>5000000</v>
      </c>
      <c r="H47" s="42">
        <f t="shared" si="22"/>
        <v>4500000</v>
      </c>
      <c r="I47" s="42"/>
      <c r="J47" s="42">
        <v>4500000</v>
      </c>
      <c r="K47" s="97">
        <f aca="true" t="shared" si="27" ref="K47:K52">H47/B47*100</f>
        <v>90</v>
      </c>
      <c r="L47" s="96"/>
      <c r="M47" s="97">
        <f aca="true" t="shared" si="28" ref="M47:M52">J47/D47*100</f>
        <v>90</v>
      </c>
      <c r="N47" s="96">
        <f aca="true" t="shared" si="29" ref="N47:N52">H47/E47*100</f>
        <v>90</v>
      </c>
      <c r="O47" s="96"/>
      <c r="P47" s="96">
        <f aca="true" t="shared" si="30" ref="P47:P52">J47/G47*100</f>
        <v>90</v>
      </c>
    </row>
    <row r="48" spans="1:17" s="20" customFormat="1" ht="20.25" customHeight="1">
      <c r="A48" s="82" t="s">
        <v>95</v>
      </c>
      <c r="B48" s="39">
        <f aca="true" t="shared" si="31" ref="B48:J48">B49+B50</f>
        <v>3203000000</v>
      </c>
      <c r="C48" s="39">
        <f t="shared" si="31"/>
        <v>0</v>
      </c>
      <c r="D48" s="39">
        <f t="shared" si="31"/>
        <v>3203000000</v>
      </c>
      <c r="E48" s="39">
        <f>E49+E50</f>
        <v>3203000000</v>
      </c>
      <c r="F48" s="39">
        <f>F49+F50</f>
        <v>0</v>
      </c>
      <c r="G48" s="39">
        <f>G49+G50</f>
        <v>3203000000</v>
      </c>
      <c r="H48" s="39">
        <f t="shared" si="31"/>
        <v>3192604250</v>
      </c>
      <c r="I48" s="39">
        <f t="shared" si="31"/>
        <v>0</v>
      </c>
      <c r="J48" s="39">
        <f t="shared" si="31"/>
        <v>3192604250</v>
      </c>
      <c r="K48" s="97">
        <f t="shared" si="27"/>
        <v>99.67543709022792</v>
      </c>
      <c r="L48" s="96"/>
      <c r="M48" s="97">
        <f t="shared" si="28"/>
        <v>99.67543709022792</v>
      </c>
      <c r="N48" s="96">
        <f t="shared" si="29"/>
        <v>99.67543709022792</v>
      </c>
      <c r="O48" s="96"/>
      <c r="P48" s="96">
        <f t="shared" si="30"/>
        <v>99.67543709022792</v>
      </c>
      <c r="Q48" s="78"/>
    </row>
    <row r="49" spans="1:17" s="20" customFormat="1" ht="19.5" customHeight="1">
      <c r="A49" s="28" t="s">
        <v>97</v>
      </c>
      <c r="B49" s="42">
        <f>D49</f>
        <v>3183000000</v>
      </c>
      <c r="C49" s="39"/>
      <c r="D49" s="42">
        <f>2817000000+366000000</f>
        <v>3183000000</v>
      </c>
      <c r="E49" s="42">
        <f>G49</f>
        <v>3183000000</v>
      </c>
      <c r="F49" s="39"/>
      <c r="G49" s="42">
        <f>2817000000+366000000</f>
        <v>3183000000</v>
      </c>
      <c r="H49" s="42">
        <f>I49+J49</f>
        <v>3172604250</v>
      </c>
      <c r="I49" s="39"/>
      <c r="J49" s="42">
        <f>'[1]chi tiet lg'!$D$223</f>
        <v>3172604250</v>
      </c>
      <c r="K49" s="97">
        <f t="shared" si="27"/>
        <v>99.67339773798304</v>
      </c>
      <c r="L49" s="96"/>
      <c r="M49" s="97">
        <f t="shared" si="28"/>
        <v>99.67339773798304</v>
      </c>
      <c r="N49" s="96">
        <f t="shared" si="29"/>
        <v>99.67339773798304</v>
      </c>
      <c r="O49" s="96"/>
      <c r="P49" s="96">
        <f t="shared" si="30"/>
        <v>99.67339773798304</v>
      </c>
      <c r="Q49" s="78"/>
    </row>
    <row r="50" spans="1:16" s="20" customFormat="1" ht="16.5" customHeight="1">
      <c r="A50" s="28" t="s">
        <v>180</v>
      </c>
      <c r="B50" s="42">
        <f>D50</f>
        <v>20000000</v>
      </c>
      <c r="C50" s="39"/>
      <c r="D50" s="42">
        <v>20000000</v>
      </c>
      <c r="E50" s="42">
        <f>G50</f>
        <v>20000000</v>
      </c>
      <c r="F50" s="39"/>
      <c r="G50" s="42">
        <v>20000000</v>
      </c>
      <c r="H50" s="42">
        <f>I50+J50</f>
        <v>20000000</v>
      </c>
      <c r="I50" s="39"/>
      <c r="J50" s="42">
        <v>20000000</v>
      </c>
      <c r="K50" s="97">
        <f t="shared" si="27"/>
        <v>100</v>
      </c>
      <c r="L50" s="96"/>
      <c r="M50" s="97">
        <f t="shared" si="28"/>
        <v>100</v>
      </c>
      <c r="N50" s="96">
        <f t="shared" si="29"/>
        <v>100</v>
      </c>
      <c r="O50" s="96"/>
      <c r="P50" s="96">
        <f t="shared" si="30"/>
        <v>100</v>
      </c>
    </row>
    <row r="51" spans="1:16" s="20" customFormat="1" ht="17.25" customHeight="1">
      <c r="A51" s="71" t="s">
        <v>96</v>
      </c>
      <c r="B51" s="39">
        <f>D51</f>
        <v>22000000</v>
      </c>
      <c r="C51" s="39"/>
      <c r="D51" s="39">
        <v>22000000</v>
      </c>
      <c r="E51" s="39">
        <f>G51</f>
        <v>22000000</v>
      </c>
      <c r="F51" s="39"/>
      <c r="G51" s="39">
        <v>22000000</v>
      </c>
      <c r="H51" s="39">
        <f>I51+J51</f>
        <v>19800000</v>
      </c>
      <c r="I51" s="39"/>
      <c r="J51" s="39">
        <f>D51-2200000</f>
        <v>19800000</v>
      </c>
      <c r="K51" s="96">
        <f t="shared" si="27"/>
        <v>90</v>
      </c>
      <c r="L51" s="96"/>
      <c r="M51" s="96">
        <f t="shared" si="28"/>
        <v>90</v>
      </c>
      <c r="N51" s="96">
        <f t="shared" si="29"/>
        <v>90</v>
      </c>
      <c r="O51" s="96"/>
      <c r="P51" s="96">
        <f t="shared" si="30"/>
        <v>90</v>
      </c>
    </row>
    <row r="52" spans="1:16" s="20" customFormat="1" ht="21" customHeight="1">
      <c r="A52" s="71" t="s">
        <v>98</v>
      </c>
      <c r="B52" s="39">
        <f>D52</f>
        <v>134000000</v>
      </c>
      <c r="C52" s="39"/>
      <c r="D52" s="39">
        <v>134000000</v>
      </c>
      <c r="E52" s="39">
        <f>G52</f>
        <v>134000000</v>
      </c>
      <c r="F52" s="39"/>
      <c r="G52" s="39">
        <v>134000000</v>
      </c>
      <c r="H52" s="39">
        <f>I52+J52</f>
        <v>134000000</v>
      </c>
      <c r="I52" s="39"/>
      <c r="J52" s="39">
        <f>D52</f>
        <v>134000000</v>
      </c>
      <c r="K52" s="96">
        <f t="shared" si="27"/>
        <v>100</v>
      </c>
      <c r="L52" s="96"/>
      <c r="M52" s="96">
        <f t="shared" si="28"/>
        <v>100</v>
      </c>
      <c r="N52" s="96">
        <f t="shared" si="29"/>
        <v>100</v>
      </c>
      <c r="O52" s="96"/>
      <c r="P52" s="96">
        <f t="shared" si="30"/>
        <v>100</v>
      </c>
    </row>
    <row r="53" spans="1:16" s="20" customFormat="1" ht="27" customHeight="1">
      <c r="A53" s="82" t="s">
        <v>134</v>
      </c>
      <c r="B53" s="39"/>
      <c r="C53" s="39"/>
      <c r="D53" s="39"/>
      <c r="E53" s="39"/>
      <c r="F53" s="39"/>
      <c r="G53" s="39"/>
      <c r="H53" s="39">
        <f>SUM(H54:H62)</f>
        <v>10153711023</v>
      </c>
      <c r="I53" s="39">
        <f>SUM(I54:I62)</f>
        <v>9974787049</v>
      </c>
      <c r="J53" s="39">
        <f>SUM(J54:J62)</f>
        <v>178923974</v>
      </c>
      <c r="K53" s="96"/>
      <c r="L53" s="96"/>
      <c r="M53" s="96"/>
      <c r="N53" s="96"/>
      <c r="O53" s="96"/>
      <c r="P53" s="96"/>
    </row>
    <row r="54" spans="1:17" s="20" customFormat="1" ht="27" customHeight="1">
      <c r="A54" s="38" t="s">
        <v>125</v>
      </c>
      <c r="B54" s="42"/>
      <c r="C54" s="42"/>
      <c r="D54" s="42"/>
      <c r="E54" s="42"/>
      <c r="F54" s="42"/>
      <c r="G54" s="42"/>
      <c r="H54" s="42">
        <f>I54+J55+J54</f>
        <v>228812729</v>
      </c>
      <c r="I54" s="42">
        <v>157862729</v>
      </c>
      <c r="J54" s="42">
        <v>70950000</v>
      </c>
      <c r="K54" s="96"/>
      <c r="L54" s="96"/>
      <c r="M54" s="149" t="s">
        <v>124</v>
      </c>
      <c r="N54" s="96"/>
      <c r="O54" s="96"/>
      <c r="P54" s="149" t="s">
        <v>124</v>
      </c>
      <c r="Q54" s="36"/>
    </row>
    <row r="55" spans="1:16" s="20" customFormat="1" ht="18.75" customHeight="1">
      <c r="A55" s="38" t="s">
        <v>126</v>
      </c>
      <c r="B55" s="42"/>
      <c r="C55" s="42"/>
      <c r="D55" s="42"/>
      <c r="E55" s="42"/>
      <c r="F55" s="42"/>
      <c r="G55" s="42"/>
      <c r="H55" s="42">
        <f>I55</f>
        <v>9316974320</v>
      </c>
      <c r="I55" s="42">
        <f>9816924320-499950000</f>
        <v>9316974320</v>
      </c>
      <c r="J55" s="42"/>
      <c r="K55" s="96"/>
      <c r="L55" s="96"/>
      <c r="M55" s="150"/>
      <c r="N55" s="96"/>
      <c r="O55" s="96"/>
      <c r="P55" s="150"/>
    </row>
    <row r="56" spans="1:16" s="20" customFormat="1" ht="18.75" customHeight="1">
      <c r="A56" s="38" t="s">
        <v>169</v>
      </c>
      <c r="B56" s="42"/>
      <c r="C56" s="42"/>
      <c r="D56" s="42"/>
      <c r="E56" s="42"/>
      <c r="F56" s="42"/>
      <c r="G56" s="42"/>
      <c r="H56" s="42">
        <f>I56</f>
        <v>499950000</v>
      </c>
      <c r="I56" s="42">
        <v>499950000</v>
      </c>
      <c r="J56" s="42"/>
      <c r="K56" s="96"/>
      <c r="L56" s="96"/>
      <c r="M56" s="110"/>
      <c r="N56" s="96"/>
      <c r="O56" s="96"/>
      <c r="P56" s="110"/>
    </row>
    <row r="57" spans="1:16" s="20" customFormat="1" ht="20.25" customHeight="1">
      <c r="A57" s="38" t="s">
        <v>127</v>
      </c>
      <c r="B57" s="42"/>
      <c r="C57" s="42"/>
      <c r="D57" s="42"/>
      <c r="E57" s="42"/>
      <c r="F57" s="42"/>
      <c r="G57" s="42"/>
      <c r="H57" s="42">
        <v>7800000</v>
      </c>
      <c r="I57" s="42"/>
      <c r="J57" s="42">
        <v>7800000</v>
      </c>
      <c r="K57" s="96"/>
      <c r="L57" s="96"/>
      <c r="M57" s="96"/>
      <c r="N57" s="96"/>
      <c r="O57" s="96"/>
      <c r="P57" s="96"/>
    </row>
    <row r="58" spans="1:16" s="20" customFormat="1" ht="27" customHeight="1">
      <c r="A58" s="38" t="s">
        <v>128</v>
      </c>
      <c r="B58" s="42"/>
      <c r="C58" s="42"/>
      <c r="D58" s="42"/>
      <c r="E58" s="42"/>
      <c r="F58" s="42"/>
      <c r="G58" s="42"/>
      <c r="H58" s="42">
        <v>50000000</v>
      </c>
      <c r="I58" s="42"/>
      <c r="J58" s="42">
        <v>50000000</v>
      </c>
      <c r="K58" s="96"/>
      <c r="L58" s="96"/>
      <c r="M58" s="96"/>
      <c r="N58" s="96"/>
      <c r="O58" s="96"/>
      <c r="P58" s="96"/>
    </row>
    <row r="59" spans="1:16" s="20" customFormat="1" ht="18.75" customHeight="1">
      <c r="A59" s="38" t="s">
        <v>129</v>
      </c>
      <c r="B59" s="42"/>
      <c r="C59" s="42"/>
      <c r="D59" s="42"/>
      <c r="E59" s="42"/>
      <c r="F59" s="42"/>
      <c r="G59" s="42"/>
      <c r="H59" s="42">
        <v>13789000</v>
      </c>
      <c r="I59" s="42"/>
      <c r="J59" s="42">
        <v>13789000</v>
      </c>
      <c r="K59" s="96"/>
      <c r="L59" s="96"/>
      <c r="M59" s="96"/>
      <c r="N59" s="96"/>
      <c r="O59" s="96"/>
      <c r="P59" s="96"/>
    </row>
    <row r="60" spans="1:16" s="20" customFormat="1" ht="18.75" customHeight="1">
      <c r="A60" s="38" t="s">
        <v>130</v>
      </c>
      <c r="B60" s="42"/>
      <c r="C60" s="42"/>
      <c r="D60" s="42"/>
      <c r="E60" s="42"/>
      <c r="F60" s="42"/>
      <c r="G60" s="42"/>
      <c r="H60" s="42">
        <v>7595000</v>
      </c>
      <c r="I60" s="42"/>
      <c r="J60" s="42">
        <v>7595000</v>
      </c>
      <c r="K60" s="96"/>
      <c r="L60" s="96"/>
      <c r="M60" s="96"/>
      <c r="N60" s="96"/>
      <c r="O60" s="96"/>
      <c r="P60" s="96"/>
    </row>
    <row r="61" spans="1:16" s="20" customFormat="1" ht="18" customHeight="1">
      <c r="A61" s="38" t="s">
        <v>131</v>
      </c>
      <c r="B61" s="42"/>
      <c r="C61" s="42"/>
      <c r="D61" s="42"/>
      <c r="E61" s="42"/>
      <c r="F61" s="42"/>
      <c r="G61" s="42"/>
      <c r="H61" s="42">
        <v>22695974</v>
      </c>
      <c r="I61" s="42"/>
      <c r="J61" s="42">
        <v>22695974</v>
      </c>
      <c r="K61" s="96"/>
      <c r="L61" s="96"/>
      <c r="M61" s="96"/>
      <c r="N61" s="96"/>
      <c r="O61" s="96"/>
      <c r="P61" s="96"/>
    </row>
    <row r="62" spans="1:16" s="20" customFormat="1" ht="19.5" customHeight="1">
      <c r="A62" s="38" t="s">
        <v>132</v>
      </c>
      <c r="B62" s="42"/>
      <c r="C62" s="42"/>
      <c r="D62" s="42"/>
      <c r="E62" s="42"/>
      <c r="F62" s="42"/>
      <c r="G62" s="42"/>
      <c r="H62" s="42">
        <v>6094000</v>
      </c>
      <c r="I62" s="42"/>
      <c r="J62" s="42">
        <v>6094000</v>
      </c>
      <c r="K62" s="96"/>
      <c r="L62" s="96"/>
      <c r="M62" s="96"/>
      <c r="N62" s="96"/>
      <c r="O62" s="96"/>
      <c r="P62" s="96"/>
    </row>
    <row r="63" spans="1:16" s="20" customFormat="1" ht="16.5" customHeight="1">
      <c r="A63" s="82" t="s">
        <v>99</v>
      </c>
      <c r="B63" s="39">
        <f aca="true" t="shared" si="32" ref="B63:J63">SUM(B64:B80)</f>
        <v>0</v>
      </c>
      <c r="C63" s="39">
        <f t="shared" si="32"/>
        <v>0</v>
      </c>
      <c r="D63" s="39">
        <f t="shared" si="32"/>
        <v>0</v>
      </c>
      <c r="E63" s="39">
        <f>SUM(E64:E80)</f>
        <v>0</v>
      </c>
      <c r="F63" s="39">
        <f>SUM(F64:F80)</f>
        <v>0</v>
      </c>
      <c r="G63" s="39">
        <f>SUM(G64:G80)</f>
        <v>0</v>
      </c>
      <c r="H63" s="39">
        <f t="shared" si="32"/>
        <v>1453149336</v>
      </c>
      <c r="I63" s="39">
        <f t="shared" si="32"/>
        <v>0</v>
      </c>
      <c r="J63" s="39">
        <f t="shared" si="32"/>
        <v>1453149336</v>
      </c>
      <c r="K63" s="96"/>
      <c r="L63" s="96"/>
      <c r="M63" s="96"/>
      <c r="N63" s="96"/>
      <c r="O63" s="96"/>
      <c r="P63" s="96"/>
    </row>
    <row r="64" spans="1:16" s="43" customFormat="1" ht="38.25">
      <c r="A64" s="38" t="s">
        <v>111</v>
      </c>
      <c r="B64" s="39"/>
      <c r="C64" s="39"/>
      <c r="D64" s="40"/>
      <c r="E64" s="39"/>
      <c r="F64" s="39"/>
      <c r="G64" s="40"/>
      <c r="H64" s="41">
        <v>240894315</v>
      </c>
      <c r="I64" s="42"/>
      <c r="J64" s="41">
        <v>240894315</v>
      </c>
      <c r="K64" s="96"/>
      <c r="L64" s="96"/>
      <c r="M64" s="96"/>
      <c r="N64" s="96"/>
      <c r="O64" s="96"/>
      <c r="P64" s="96"/>
    </row>
    <row r="65" spans="1:16" s="43" customFormat="1" ht="38.25">
      <c r="A65" s="38" t="s">
        <v>112</v>
      </c>
      <c r="B65" s="39"/>
      <c r="C65" s="39"/>
      <c r="D65" s="40"/>
      <c r="E65" s="39"/>
      <c r="F65" s="39"/>
      <c r="G65" s="40"/>
      <c r="H65" s="41">
        <v>18000000</v>
      </c>
      <c r="I65" s="42"/>
      <c r="J65" s="41">
        <v>18000000</v>
      </c>
      <c r="K65" s="96"/>
      <c r="L65" s="96"/>
      <c r="M65" s="96"/>
      <c r="N65" s="96"/>
      <c r="O65" s="96"/>
      <c r="P65" s="96"/>
    </row>
    <row r="66" spans="1:16" s="43" customFormat="1" ht="32.25" customHeight="1">
      <c r="A66" s="38" t="s">
        <v>113</v>
      </c>
      <c r="B66" s="39"/>
      <c r="C66" s="39"/>
      <c r="D66" s="40"/>
      <c r="E66" s="39"/>
      <c r="F66" s="39"/>
      <c r="G66" s="40"/>
      <c r="H66" s="41">
        <v>20000000</v>
      </c>
      <c r="I66" s="42"/>
      <c r="J66" s="41">
        <v>20000000</v>
      </c>
      <c r="K66" s="96"/>
      <c r="L66" s="96"/>
      <c r="M66" s="96"/>
      <c r="N66" s="96"/>
      <c r="O66" s="96"/>
      <c r="P66" s="96"/>
    </row>
    <row r="67" spans="1:16" s="43" customFormat="1" ht="25.5">
      <c r="A67" s="38" t="s">
        <v>114</v>
      </c>
      <c r="B67" s="39"/>
      <c r="C67" s="39"/>
      <c r="D67" s="40"/>
      <c r="E67" s="39"/>
      <c r="F67" s="39"/>
      <c r="G67" s="40"/>
      <c r="H67" s="41">
        <v>9000000</v>
      </c>
      <c r="I67" s="42"/>
      <c r="J67" s="41">
        <v>9000000</v>
      </c>
      <c r="K67" s="96"/>
      <c r="L67" s="96"/>
      <c r="M67" s="96"/>
      <c r="N67" s="96"/>
      <c r="O67" s="96"/>
      <c r="P67" s="96"/>
    </row>
    <row r="68" spans="1:16" s="43" customFormat="1" ht="38.25">
      <c r="A68" s="38" t="s">
        <v>115</v>
      </c>
      <c r="B68" s="39"/>
      <c r="C68" s="39"/>
      <c r="D68" s="40"/>
      <c r="E68" s="39"/>
      <c r="F68" s="39"/>
      <c r="G68" s="40"/>
      <c r="H68" s="41">
        <v>338712000</v>
      </c>
      <c r="I68" s="42"/>
      <c r="J68" s="41">
        <v>338712000</v>
      </c>
      <c r="K68" s="96"/>
      <c r="L68" s="96"/>
      <c r="M68" s="96"/>
      <c r="N68" s="96"/>
      <c r="O68" s="96"/>
      <c r="P68" s="96"/>
    </row>
    <row r="69" spans="1:16" s="43" customFormat="1" ht="25.5">
      <c r="A69" s="38" t="s">
        <v>116</v>
      </c>
      <c r="B69" s="39"/>
      <c r="C69" s="39"/>
      <c r="D69" s="40"/>
      <c r="E69" s="39"/>
      <c r="F69" s="39"/>
      <c r="G69" s="40"/>
      <c r="H69" s="41">
        <v>200000000</v>
      </c>
      <c r="I69" s="42"/>
      <c r="J69" s="41">
        <v>200000000</v>
      </c>
      <c r="K69" s="96"/>
      <c r="L69" s="96"/>
      <c r="M69" s="96"/>
      <c r="N69" s="96"/>
      <c r="O69" s="96"/>
      <c r="P69" s="96"/>
    </row>
    <row r="70" spans="1:16" s="43" customFormat="1" ht="63.75">
      <c r="A70" s="38" t="s">
        <v>117</v>
      </c>
      <c r="B70" s="39"/>
      <c r="C70" s="39"/>
      <c r="D70" s="40"/>
      <c r="E70" s="39"/>
      <c r="F70" s="39"/>
      <c r="G70" s="40"/>
      <c r="H70" s="41">
        <v>84000000</v>
      </c>
      <c r="I70" s="42"/>
      <c r="J70" s="41">
        <v>84000000</v>
      </c>
      <c r="K70" s="96"/>
      <c r="L70" s="96"/>
      <c r="M70" s="96"/>
      <c r="N70" s="96"/>
      <c r="O70" s="96"/>
      <c r="P70" s="96"/>
    </row>
    <row r="71" spans="1:16" s="43" customFormat="1" ht="38.25">
      <c r="A71" s="28" t="s">
        <v>108</v>
      </c>
      <c r="B71" s="39"/>
      <c r="C71" s="39"/>
      <c r="D71" s="40"/>
      <c r="E71" s="39"/>
      <c r="F71" s="39"/>
      <c r="G71" s="40"/>
      <c r="H71" s="41">
        <v>64488000</v>
      </c>
      <c r="I71" s="42"/>
      <c r="J71" s="41">
        <v>64488000</v>
      </c>
      <c r="K71" s="96"/>
      <c r="L71" s="96"/>
      <c r="M71" s="96"/>
      <c r="N71" s="96"/>
      <c r="O71" s="96"/>
      <c r="P71" s="96"/>
    </row>
    <row r="72" spans="1:16" s="43" customFormat="1" ht="51">
      <c r="A72" s="38" t="s">
        <v>118</v>
      </c>
      <c r="B72" s="39"/>
      <c r="C72" s="39"/>
      <c r="D72" s="40"/>
      <c r="E72" s="39"/>
      <c r="F72" s="39"/>
      <c r="G72" s="40"/>
      <c r="H72" s="41">
        <v>20000000</v>
      </c>
      <c r="I72" s="42"/>
      <c r="J72" s="41">
        <v>20000000</v>
      </c>
      <c r="K72" s="96"/>
      <c r="L72" s="96"/>
      <c r="M72" s="96"/>
      <c r="N72" s="96"/>
      <c r="O72" s="96"/>
      <c r="P72" s="96"/>
    </row>
    <row r="73" spans="1:16" s="43" customFormat="1" ht="56.25" customHeight="1">
      <c r="A73" s="38" t="s">
        <v>119</v>
      </c>
      <c r="B73" s="39"/>
      <c r="C73" s="39"/>
      <c r="D73" s="40"/>
      <c r="E73" s="39"/>
      <c r="F73" s="39"/>
      <c r="G73" s="40"/>
      <c r="H73" s="41">
        <v>30000000</v>
      </c>
      <c r="I73" s="42"/>
      <c r="J73" s="41">
        <v>30000000</v>
      </c>
      <c r="K73" s="96"/>
      <c r="L73" s="96"/>
      <c r="M73" s="96"/>
      <c r="N73" s="96"/>
      <c r="O73" s="96"/>
      <c r="P73" s="96"/>
    </row>
    <row r="74" spans="1:16" s="43" customFormat="1" ht="37.5" customHeight="1">
      <c r="A74" s="38" t="s">
        <v>120</v>
      </c>
      <c r="B74" s="39"/>
      <c r="C74" s="39"/>
      <c r="D74" s="40"/>
      <c r="E74" s="39"/>
      <c r="F74" s="39"/>
      <c r="G74" s="40"/>
      <c r="H74" s="41">
        <v>50000000</v>
      </c>
      <c r="I74" s="42"/>
      <c r="J74" s="41">
        <v>50000000</v>
      </c>
      <c r="K74" s="96"/>
      <c r="L74" s="96"/>
      <c r="M74" s="96"/>
      <c r="N74" s="96"/>
      <c r="O74" s="96"/>
      <c r="P74" s="96"/>
    </row>
    <row r="75" spans="1:16" s="43" customFormat="1" ht="53.25" customHeight="1">
      <c r="A75" s="38" t="s">
        <v>175</v>
      </c>
      <c r="B75" s="39"/>
      <c r="C75" s="39"/>
      <c r="D75" s="40"/>
      <c r="E75" s="39"/>
      <c r="F75" s="39"/>
      <c r="G75" s="40"/>
      <c r="H75" s="41">
        <f>160120000-2000000</f>
        <v>158120000</v>
      </c>
      <c r="I75" s="42"/>
      <c r="J75" s="41">
        <f>160120000-2000000</f>
        <v>158120000</v>
      </c>
      <c r="K75" s="96"/>
      <c r="L75" s="96"/>
      <c r="M75" s="96"/>
      <c r="N75" s="96"/>
      <c r="O75" s="96"/>
      <c r="P75" s="96"/>
    </row>
    <row r="76" spans="1:16" s="43" customFormat="1" ht="36" customHeight="1">
      <c r="A76" s="38" t="s">
        <v>176</v>
      </c>
      <c r="B76" s="39"/>
      <c r="C76" s="39"/>
      <c r="D76" s="40"/>
      <c r="E76" s="39"/>
      <c r="F76" s="39"/>
      <c r="G76" s="40"/>
      <c r="H76" s="41">
        <v>26711000</v>
      </c>
      <c r="I76" s="42"/>
      <c r="J76" s="41">
        <v>26711000</v>
      </c>
      <c r="K76" s="96"/>
      <c r="L76" s="96"/>
      <c r="M76" s="96"/>
      <c r="N76" s="96"/>
      <c r="O76" s="96"/>
      <c r="P76" s="96"/>
    </row>
    <row r="77" spans="1:16" s="43" customFormat="1" ht="38.25" customHeight="1">
      <c r="A77" s="38" t="s">
        <v>177</v>
      </c>
      <c r="B77" s="39"/>
      <c r="C77" s="39"/>
      <c r="D77" s="40"/>
      <c r="E77" s="39"/>
      <c r="F77" s="39"/>
      <c r="G77" s="40"/>
      <c r="H77" s="41">
        <v>56762000</v>
      </c>
      <c r="I77" s="42"/>
      <c r="J77" s="41">
        <v>56762000</v>
      </c>
      <c r="K77" s="96"/>
      <c r="L77" s="96"/>
      <c r="M77" s="96"/>
      <c r="N77" s="96"/>
      <c r="O77" s="96"/>
      <c r="P77" s="96"/>
    </row>
    <row r="78" spans="1:16" s="43" customFormat="1" ht="28.5" customHeight="1">
      <c r="A78" s="38" t="s">
        <v>121</v>
      </c>
      <c r="B78" s="39"/>
      <c r="C78" s="39"/>
      <c r="D78" s="40"/>
      <c r="E78" s="39"/>
      <c r="F78" s="39"/>
      <c r="G78" s="40"/>
      <c r="H78" s="41">
        <v>42940000</v>
      </c>
      <c r="I78" s="42"/>
      <c r="J78" s="41">
        <v>42940000</v>
      </c>
      <c r="K78" s="96"/>
      <c r="L78" s="96"/>
      <c r="M78" s="96"/>
      <c r="N78" s="96"/>
      <c r="O78" s="96"/>
      <c r="P78" s="96"/>
    </row>
    <row r="79" spans="1:16" s="43" customFormat="1" ht="25.5">
      <c r="A79" s="38" t="s">
        <v>122</v>
      </c>
      <c r="B79" s="39"/>
      <c r="C79" s="39"/>
      <c r="D79" s="40"/>
      <c r="E79" s="39"/>
      <c r="F79" s="39"/>
      <c r="G79" s="40"/>
      <c r="H79" s="41">
        <v>90859021</v>
      </c>
      <c r="I79" s="42"/>
      <c r="J79" s="41">
        <v>90859021</v>
      </c>
      <c r="K79" s="96"/>
      <c r="L79" s="96"/>
      <c r="M79" s="96"/>
      <c r="N79" s="96"/>
      <c r="O79" s="96"/>
      <c r="P79" s="96"/>
    </row>
    <row r="80" spans="1:16" s="20" customFormat="1" ht="18.75" customHeight="1">
      <c r="A80" s="28" t="s">
        <v>109</v>
      </c>
      <c r="B80" s="39"/>
      <c r="C80" s="39"/>
      <c r="D80" s="40"/>
      <c r="E80" s="39"/>
      <c r="F80" s="39"/>
      <c r="G80" s="40"/>
      <c r="H80" s="41">
        <v>2663000</v>
      </c>
      <c r="I80" s="42"/>
      <c r="J80" s="41">
        <v>2663000</v>
      </c>
      <c r="K80" s="96"/>
      <c r="L80" s="96"/>
      <c r="M80" s="96"/>
      <c r="N80" s="96"/>
      <c r="O80" s="96"/>
      <c r="P80" s="96"/>
    </row>
    <row r="81" spans="1:17" s="20" customFormat="1" ht="18" customHeight="1">
      <c r="A81" s="71" t="s">
        <v>110</v>
      </c>
      <c r="B81" s="39"/>
      <c r="C81" s="39"/>
      <c r="D81" s="39"/>
      <c r="E81" s="39"/>
      <c r="F81" s="39"/>
      <c r="G81" s="39"/>
      <c r="H81" s="39">
        <f>I81+J81</f>
        <v>2467618952</v>
      </c>
      <c r="I81" s="39"/>
      <c r="J81" s="39">
        <f>SUM(J82:J90)</f>
        <v>2467618952</v>
      </c>
      <c r="K81" s="96"/>
      <c r="L81" s="96"/>
      <c r="M81" s="96"/>
      <c r="N81" s="96"/>
      <c r="O81" s="96"/>
      <c r="P81" s="96"/>
      <c r="Q81" s="78">
        <f>Thu!F8-Chi!H8</f>
        <v>0</v>
      </c>
    </row>
    <row r="82" spans="1:17" s="20" customFormat="1" ht="18" customHeight="1">
      <c r="A82" s="79" t="s">
        <v>135</v>
      </c>
      <c r="B82" s="42"/>
      <c r="C82" s="42"/>
      <c r="D82" s="42"/>
      <c r="E82" s="42"/>
      <c r="F82" s="42"/>
      <c r="G82" s="42"/>
      <c r="H82" s="42">
        <f>I82+J82</f>
        <v>261577000</v>
      </c>
      <c r="I82" s="42"/>
      <c r="J82" s="42">
        <v>261577000</v>
      </c>
      <c r="K82" s="97"/>
      <c r="L82" s="97"/>
      <c r="M82" s="97"/>
      <c r="N82" s="97"/>
      <c r="O82" s="97"/>
      <c r="P82" s="97"/>
      <c r="Q82" s="78"/>
    </row>
    <row r="83" spans="1:16" s="20" customFormat="1" ht="18" customHeight="1">
      <c r="A83" s="79" t="s">
        <v>136</v>
      </c>
      <c r="B83" s="42"/>
      <c r="C83" s="42"/>
      <c r="D83" s="42"/>
      <c r="E83" s="42"/>
      <c r="F83" s="42"/>
      <c r="G83" s="42"/>
      <c r="H83" s="42">
        <f aca="true" t="shared" si="33" ref="H83:H90">I83+J83</f>
        <v>596811000</v>
      </c>
      <c r="I83" s="42"/>
      <c r="J83" s="42">
        <v>596811000</v>
      </c>
      <c r="K83" s="97"/>
      <c r="L83" s="97"/>
      <c r="M83" s="97"/>
      <c r="N83" s="97"/>
      <c r="O83" s="97"/>
      <c r="P83" s="97"/>
    </row>
    <row r="84" spans="1:16" s="20" customFormat="1" ht="18" customHeight="1">
      <c r="A84" s="79" t="s">
        <v>137</v>
      </c>
      <c r="B84" s="42"/>
      <c r="C84" s="42"/>
      <c r="D84" s="42"/>
      <c r="E84" s="42"/>
      <c r="F84" s="42"/>
      <c r="G84" s="42"/>
      <c r="H84" s="42">
        <f t="shared" si="33"/>
        <v>950000000</v>
      </c>
      <c r="I84" s="42"/>
      <c r="J84" s="42">
        <v>950000000</v>
      </c>
      <c r="K84" s="97"/>
      <c r="L84" s="97"/>
      <c r="M84" s="97"/>
      <c r="N84" s="97"/>
      <c r="O84" s="97"/>
      <c r="P84" s="97"/>
    </row>
    <row r="85" spans="1:16" s="20" customFormat="1" ht="18" customHeight="1">
      <c r="A85" s="79" t="s">
        <v>142</v>
      </c>
      <c r="B85" s="42"/>
      <c r="C85" s="42"/>
      <c r="D85" s="42"/>
      <c r="E85" s="42"/>
      <c r="F85" s="42"/>
      <c r="G85" s="42"/>
      <c r="H85" s="42">
        <f t="shared" si="33"/>
        <v>407098000</v>
      </c>
      <c r="I85" s="42"/>
      <c r="J85" s="42">
        <v>407098000</v>
      </c>
      <c r="K85" s="97"/>
      <c r="L85" s="97"/>
      <c r="M85" s="97"/>
      <c r="N85" s="97"/>
      <c r="O85" s="97"/>
      <c r="P85" s="97"/>
    </row>
    <row r="86" spans="1:16" s="20" customFormat="1" ht="18" customHeight="1">
      <c r="A86" s="79" t="s">
        <v>143</v>
      </c>
      <c r="B86" s="42"/>
      <c r="C86" s="42"/>
      <c r="D86" s="42"/>
      <c r="E86" s="42"/>
      <c r="F86" s="42"/>
      <c r="G86" s="42"/>
      <c r="H86" s="42">
        <f t="shared" si="33"/>
        <v>47000000</v>
      </c>
      <c r="I86" s="42"/>
      <c r="J86" s="42">
        <v>47000000</v>
      </c>
      <c r="K86" s="97"/>
      <c r="L86" s="97"/>
      <c r="M86" s="97"/>
      <c r="N86" s="97"/>
      <c r="O86" s="97"/>
      <c r="P86" s="97"/>
    </row>
    <row r="87" spans="1:16" s="20" customFormat="1" ht="18" customHeight="1">
      <c r="A87" s="79" t="s">
        <v>138</v>
      </c>
      <c r="B87" s="42"/>
      <c r="C87" s="42"/>
      <c r="D87" s="42"/>
      <c r="E87" s="42"/>
      <c r="F87" s="42"/>
      <c r="G87" s="42"/>
      <c r="H87" s="42">
        <f t="shared" si="33"/>
        <v>99000000</v>
      </c>
      <c r="I87" s="42"/>
      <c r="J87" s="42">
        <v>99000000</v>
      </c>
      <c r="K87" s="97"/>
      <c r="L87" s="97"/>
      <c r="M87" s="97"/>
      <c r="N87" s="97"/>
      <c r="O87" s="97"/>
      <c r="P87" s="97"/>
    </row>
    <row r="88" spans="1:16" s="20" customFormat="1" ht="18" customHeight="1">
      <c r="A88" s="79" t="s">
        <v>141</v>
      </c>
      <c r="B88" s="42"/>
      <c r="C88" s="42"/>
      <c r="D88" s="42"/>
      <c r="E88" s="42"/>
      <c r="F88" s="42"/>
      <c r="G88" s="42"/>
      <c r="H88" s="42">
        <f t="shared" si="33"/>
        <v>9050535</v>
      </c>
      <c r="I88" s="42"/>
      <c r="J88" s="92">
        <v>9050535</v>
      </c>
      <c r="K88" s="97"/>
      <c r="L88" s="97"/>
      <c r="M88" s="97"/>
      <c r="N88" s="97"/>
      <c r="O88" s="97"/>
      <c r="P88" s="97"/>
    </row>
    <row r="89" spans="1:16" s="20" customFormat="1" ht="27.75" customHeight="1">
      <c r="A89" s="38" t="s">
        <v>144</v>
      </c>
      <c r="B89" s="42"/>
      <c r="C89" s="42"/>
      <c r="D89" s="42"/>
      <c r="E89" s="42"/>
      <c r="F89" s="42"/>
      <c r="G89" s="42"/>
      <c r="H89" s="42">
        <f t="shared" si="33"/>
        <v>30448000</v>
      </c>
      <c r="I89" s="42"/>
      <c r="J89" s="42">
        <v>30448000</v>
      </c>
      <c r="K89" s="97"/>
      <c r="L89" s="97"/>
      <c r="M89" s="97"/>
      <c r="N89" s="97"/>
      <c r="O89" s="97"/>
      <c r="P89" s="97"/>
    </row>
    <row r="90" spans="1:16" s="20" customFormat="1" ht="21" customHeight="1">
      <c r="A90" s="79" t="s">
        <v>145</v>
      </c>
      <c r="B90" s="42"/>
      <c r="C90" s="42"/>
      <c r="D90" s="42"/>
      <c r="E90" s="42"/>
      <c r="F90" s="42"/>
      <c r="G90" s="42"/>
      <c r="H90" s="42">
        <f t="shared" si="33"/>
        <v>66634417</v>
      </c>
      <c r="I90" s="42"/>
      <c r="J90" s="42">
        <f>65289202+1345215</f>
        <v>66634417</v>
      </c>
      <c r="K90" s="97"/>
      <c r="L90" s="97"/>
      <c r="M90" s="97"/>
      <c r="N90" s="97"/>
      <c r="O90" s="97"/>
      <c r="P90" s="97"/>
    </row>
    <row r="91" spans="1:16" s="20" customFormat="1" ht="21" customHeight="1">
      <c r="A91" s="71" t="s">
        <v>103</v>
      </c>
      <c r="B91" s="39"/>
      <c r="C91" s="39"/>
      <c r="D91" s="39"/>
      <c r="E91" s="39"/>
      <c r="F91" s="39"/>
      <c r="G91" s="39"/>
      <c r="H91" s="39">
        <v>388562000</v>
      </c>
      <c r="I91" s="39"/>
      <c r="J91" s="39">
        <v>388562000</v>
      </c>
      <c r="K91" s="96"/>
      <c r="L91" s="96"/>
      <c r="M91" s="96"/>
      <c r="N91" s="96"/>
      <c r="O91" s="96"/>
      <c r="P91" s="96"/>
    </row>
    <row r="92" spans="1:16" s="20" customFormat="1" ht="19.5" customHeight="1">
      <c r="A92" s="71" t="s">
        <v>105</v>
      </c>
      <c r="B92" s="39"/>
      <c r="C92" s="39"/>
      <c r="D92" s="39"/>
      <c r="E92" s="39"/>
      <c r="F92" s="39"/>
      <c r="G92" s="39"/>
      <c r="H92" s="39"/>
      <c r="I92" s="39"/>
      <c r="J92" s="39"/>
      <c r="K92" s="96"/>
      <c r="L92" s="96"/>
      <c r="M92" s="96"/>
      <c r="N92" s="96"/>
      <c r="O92" s="96"/>
      <c r="P92" s="96"/>
    </row>
    <row r="93" spans="1:16" s="20" customFormat="1" ht="18.75" customHeight="1">
      <c r="A93" s="71" t="s">
        <v>104</v>
      </c>
      <c r="B93" s="39"/>
      <c r="C93" s="39"/>
      <c r="D93" s="39"/>
      <c r="E93" s="39"/>
      <c r="F93" s="39"/>
      <c r="G93" s="39"/>
      <c r="H93" s="39"/>
      <c r="I93" s="39"/>
      <c r="J93" s="39"/>
      <c r="K93" s="96"/>
      <c r="L93" s="96"/>
      <c r="M93" s="96"/>
      <c r="N93" s="96"/>
      <c r="O93" s="96"/>
      <c r="P93" s="96"/>
    </row>
    <row r="94" spans="1:17" s="20" customFormat="1" ht="19.5" customHeight="1">
      <c r="A94" s="83" t="s">
        <v>148</v>
      </c>
      <c r="B94" s="68">
        <f>C94</f>
        <v>5760000000</v>
      </c>
      <c r="C94" s="68">
        <v>5760000000</v>
      </c>
      <c r="D94" s="39"/>
      <c r="E94" s="68">
        <f>F94</f>
        <v>13071000000</v>
      </c>
      <c r="F94" s="68">
        <v>13071000000</v>
      </c>
      <c r="G94" s="39"/>
      <c r="H94" s="68">
        <f>I94</f>
        <v>1979329951</v>
      </c>
      <c r="I94" s="68">
        <f>I95</f>
        <v>1979329951</v>
      </c>
      <c r="J94" s="42">
        <f>D94</f>
        <v>0</v>
      </c>
      <c r="K94" s="97">
        <f>H94/B94*100</f>
        <v>34.36336720486111</v>
      </c>
      <c r="L94" s="97">
        <f>I94/C94*100</f>
        <v>34.36336720486111</v>
      </c>
      <c r="M94" s="96"/>
      <c r="N94" s="97">
        <f>K94/E94*100</f>
        <v>2.628977676142691E-07</v>
      </c>
      <c r="O94" s="97">
        <f>H94/F94*100</f>
        <v>15.1429114145819</v>
      </c>
      <c r="P94" s="96"/>
      <c r="Q94" s="36">
        <f>I94-I95</f>
        <v>0</v>
      </c>
    </row>
    <row r="95" spans="1:16" s="20" customFormat="1" ht="20.25" customHeight="1">
      <c r="A95" s="83" t="s">
        <v>149</v>
      </c>
      <c r="B95" s="69"/>
      <c r="C95" s="39"/>
      <c r="D95" s="39"/>
      <c r="E95" s="69"/>
      <c r="F95" s="39"/>
      <c r="G95" s="39"/>
      <c r="H95" s="69">
        <f>H97+H100+H101+H102+H106+H107+H108+H109+H114+H117</f>
        <v>0</v>
      </c>
      <c r="I95" s="69">
        <f>I96+I101+I104+I109</f>
        <v>1979329951</v>
      </c>
      <c r="J95" s="42">
        <f>D95</f>
        <v>0</v>
      </c>
      <c r="K95" s="97"/>
      <c r="L95" s="96"/>
      <c r="M95" s="96"/>
      <c r="N95" s="97"/>
      <c r="O95" s="96"/>
      <c r="P95" s="96"/>
    </row>
    <row r="96" spans="1:17" s="20" customFormat="1" ht="17.25" customHeight="1">
      <c r="A96" s="83" t="s">
        <v>150</v>
      </c>
      <c r="B96" s="69"/>
      <c r="C96" s="39"/>
      <c r="D96" s="39"/>
      <c r="E96" s="69"/>
      <c r="F96" s="39"/>
      <c r="G96" s="39"/>
      <c r="H96" s="69"/>
      <c r="I96" s="69">
        <f>SUM(I97:I100)</f>
        <v>494444000</v>
      </c>
      <c r="J96" s="42"/>
      <c r="K96" s="97"/>
      <c r="L96" s="96"/>
      <c r="M96" s="96"/>
      <c r="N96" s="97"/>
      <c r="O96" s="96"/>
      <c r="P96" s="96"/>
      <c r="Q96" s="36">
        <f>Q94+I114</f>
        <v>2455951</v>
      </c>
    </row>
    <row r="97" spans="1:16" s="20" customFormat="1" ht="25.5">
      <c r="A97" s="87" t="s">
        <v>151</v>
      </c>
      <c r="B97" s="70">
        <v>135850000</v>
      </c>
      <c r="C97" s="69"/>
      <c r="D97" s="69"/>
      <c r="E97" s="70">
        <v>135850000</v>
      </c>
      <c r="F97" s="69"/>
      <c r="G97" s="69"/>
      <c r="H97" s="69"/>
      <c r="I97" s="70">
        <f>135850000-10000</f>
        <v>135840000</v>
      </c>
      <c r="J97" s="42"/>
      <c r="K97" s="96"/>
      <c r="L97" s="96"/>
      <c r="M97" s="96"/>
      <c r="N97" s="96"/>
      <c r="O97" s="96"/>
      <c r="P97" s="96"/>
    </row>
    <row r="98" spans="1:16" s="20" customFormat="1" ht="25.5">
      <c r="A98" s="87" t="s">
        <v>152</v>
      </c>
      <c r="B98" s="70">
        <v>36107000</v>
      </c>
      <c r="C98" s="69"/>
      <c r="D98" s="71"/>
      <c r="E98" s="70">
        <v>36107000</v>
      </c>
      <c r="F98" s="69"/>
      <c r="G98" s="71"/>
      <c r="H98" s="18"/>
      <c r="I98" s="70">
        <v>36107000</v>
      </c>
      <c r="J98" s="42"/>
      <c r="K98" s="97"/>
      <c r="L98" s="96"/>
      <c r="M98" s="96"/>
      <c r="N98" s="97"/>
      <c r="O98" s="96"/>
      <c r="P98" s="96"/>
    </row>
    <row r="99" spans="1:16" s="20" customFormat="1" ht="25.5">
      <c r="A99" s="87" t="s">
        <v>153</v>
      </c>
      <c r="B99" s="70">
        <v>307994000</v>
      </c>
      <c r="C99" s="19"/>
      <c r="D99" s="71"/>
      <c r="E99" s="70">
        <v>307994000</v>
      </c>
      <c r="F99" s="19"/>
      <c r="G99" s="71"/>
      <c r="H99" s="18"/>
      <c r="I99" s="70">
        <v>307994000</v>
      </c>
      <c r="J99" s="42"/>
      <c r="K99" s="97"/>
      <c r="L99" s="96"/>
      <c r="M99" s="96"/>
      <c r="N99" s="97"/>
      <c r="O99" s="96"/>
      <c r="P99" s="96"/>
    </row>
    <row r="100" spans="1:16" s="20" customFormat="1" ht="21.75" customHeight="1">
      <c r="A100" s="79" t="s">
        <v>154</v>
      </c>
      <c r="B100" s="72">
        <v>14503000</v>
      </c>
      <c r="C100" s="21"/>
      <c r="D100" s="71"/>
      <c r="E100" s="72">
        <v>14503000</v>
      </c>
      <c r="F100" s="21"/>
      <c r="G100" s="71"/>
      <c r="H100" s="37"/>
      <c r="I100" s="72">
        <v>14503000</v>
      </c>
      <c r="J100" s="42"/>
      <c r="K100" s="97"/>
      <c r="L100" s="96"/>
      <c r="M100" s="96"/>
      <c r="N100" s="97"/>
      <c r="O100" s="96"/>
      <c r="P100" s="96"/>
    </row>
    <row r="101" spans="1:16" ht="25.5">
      <c r="A101" s="90" t="s">
        <v>168</v>
      </c>
      <c r="B101" s="37"/>
      <c r="C101" s="22"/>
      <c r="D101" s="71"/>
      <c r="E101" s="37"/>
      <c r="F101" s="22"/>
      <c r="G101" s="71"/>
      <c r="H101" s="37"/>
      <c r="I101" s="37">
        <f>SUM(I102:I103)</f>
        <v>418116000</v>
      </c>
      <c r="J101" s="42"/>
      <c r="K101" s="97"/>
      <c r="L101" s="97"/>
      <c r="M101" s="97"/>
      <c r="N101" s="97"/>
      <c r="O101" s="97"/>
      <c r="P101" s="97"/>
    </row>
    <row r="102" spans="1:16" s="20" customFormat="1" ht="24" customHeight="1">
      <c r="A102" s="87" t="s">
        <v>178</v>
      </c>
      <c r="B102" s="43"/>
      <c r="C102" s="73"/>
      <c r="D102" s="74"/>
      <c r="E102" s="43"/>
      <c r="F102" s="73"/>
      <c r="G102" s="74"/>
      <c r="H102" s="37"/>
      <c r="I102" s="70">
        <v>709000</v>
      </c>
      <c r="J102" s="42"/>
      <c r="K102" s="97"/>
      <c r="L102" s="96"/>
      <c r="M102" s="96"/>
      <c r="N102" s="97"/>
      <c r="O102" s="96"/>
      <c r="P102" s="96"/>
    </row>
    <row r="103" spans="1:16" s="20" customFormat="1" ht="25.5">
      <c r="A103" s="87" t="s">
        <v>179</v>
      </c>
      <c r="B103" s="43"/>
      <c r="C103" s="73"/>
      <c r="D103" s="74"/>
      <c r="E103" s="43"/>
      <c r="F103" s="73"/>
      <c r="G103" s="74"/>
      <c r="H103" s="18"/>
      <c r="I103" s="70">
        <v>417407000</v>
      </c>
      <c r="J103" s="42"/>
      <c r="K103" s="98"/>
      <c r="L103" s="99"/>
      <c r="M103" s="99"/>
      <c r="N103" s="98"/>
      <c r="O103" s="99"/>
      <c r="P103" s="99"/>
    </row>
    <row r="104" spans="1:16" s="20" customFormat="1" ht="38.25">
      <c r="A104" s="88" t="s">
        <v>155</v>
      </c>
      <c r="B104" s="37"/>
      <c r="C104" s="24"/>
      <c r="D104" s="71"/>
      <c r="E104" s="37"/>
      <c r="F104" s="24"/>
      <c r="G104" s="71"/>
      <c r="H104" s="37"/>
      <c r="I104" s="37">
        <f>I105+I106+I107+I108</f>
        <v>653803000</v>
      </c>
      <c r="J104" s="42"/>
      <c r="K104" s="98"/>
      <c r="L104" s="99"/>
      <c r="M104" s="99"/>
      <c r="N104" s="98"/>
      <c r="O104" s="99"/>
      <c r="P104" s="99"/>
    </row>
    <row r="105" spans="1:16" s="20" customFormat="1" ht="27.75" customHeight="1">
      <c r="A105" s="87" t="s">
        <v>156</v>
      </c>
      <c r="B105" s="71"/>
      <c r="C105" s="73"/>
      <c r="D105" s="71"/>
      <c r="E105" s="71"/>
      <c r="F105" s="73"/>
      <c r="G105" s="71"/>
      <c r="H105" s="18"/>
      <c r="I105" s="70">
        <v>50232000</v>
      </c>
      <c r="J105" s="42"/>
      <c r="K105" s="98"/>
      <c r="L105" s="99"/>
      <c r="M105" s="99"/>
      <c r="N105" s="98"/>
      <c r="O105" s="99"/>
      <c r="P105" s="99"/>
    </row>
    <row r="106" spans="1:16" s="20" customFormat="1" ht="22.5" customHeight="1">
      <c r="A106" s="87" t="s">
        <v>157</v>
      </c>
      <c r="B106" s="71"/>
      <c r="C106" s="73"/>
      <c r="D106" s="75"/>
      <c r="E106" s="71"/>
      <c r="F106" s="73"/>
      <c r="G106" s="75"/>
      <c r="H106" s="37"/>
      <c r="I106" s="70">
        <v>5184000</v>
      </c>
      <c r="J106" s="42"/>
      <c r="K106" s="98"/>
      <c r="L106" s="99"/>
      <c r="M106" s="99"/>
      <c r="N106" s="98"/>
      <c r="O106" s="99"/>
      <c r="P106" s="99"/>
    </row>
    <row r="107" spans="1:16" s="20" customFormat="1" ht="18.75" customHeight="1">
      <c r="A107" s="87" t="s">
        <v>158</v>
      </c>
      <c r="B107" s="71"/>
      <c r="C107" s="73"/>
      <c r="D107" s="75"/>
      <c r="E107" s="71"/>
      <c r="F107" s="73"/>
      <c r="G107" s="75"/>
      <c r="H107" s="37"/>
      <c r="I107" s="70">
        <v>150000000</v>
      </c>
      <c r="J107" s="42"/>
      <c r="K107" s="98"/>
      <c r="L107" s="99"/>
      <c r="M107" s="99"/>
      <c r="N107" s="98"/>
      <c r="O107" s="99"/>
      <c r="P107" s="99"/>
    </row>
    <row r="108" spans="1:16" s="20" customFormat="1" ht="17.25" customHeight="1">
      <c r="A108" s="79" t="s">
        <v>159</v>
      </c>
      <c r="B108" s="71"/>
      <c r="C108" s="76"/>
      <c r="D108" s="75"/>
      <c r="E108" s="71"/>
      <c r="F108" s="76"/>
      <c r="G108" s="75"/>
      <c r="H108" s="37"/>
      <c r="I108" s="70">
        <v>448387000</v>
      </c>
      <c r="J108" s="42"/>
      <c r="K108" s="98"/>
      <c r="L108" s="99"/>
      <c r="M108" s="99"/>
      <c r="N108" s="98"/>
      <c r="O108" s="99"/>
      <c r="P108" s="99"/>
    </row>
    <row r="109" spans="1:16" s="20" customFormat="1" ht="38.25">
      <c r="A109" s="89" t="s">
        <v>160</v>
      </c>
      <c r="B109" s="37"/>
      <c r="C109" s="22"/>
      <c r="D109" s="71"/>
      <c r="E109" s="37"/>
      <c r="F109" s="22"/>
      <c r="G109" s="71"/>
      <c r="H109" s="37"/>
      <c r="I109" s="37">
        <f>SUM(I110:I117)</f>
        <v>412966951</v>
      </c>
      <c r="J109" s="42"/>
      <c r="K109" s="98"/>
      <c r="L109" s="99"/>
      <c r="M109" s="99"/>
      <c r="N109" s="98"/>
      <c r="O109" s="99"/>
      <c r="P109" s="99"/>
    </row>
    <row r="110" spans="1:16" s="20" customFormat="1" ht="23.25" customHeight="1">
      <c r="A110" s="87" t="s">
        <v>161</v>
      </c>
      <c r="B110" s="71"/>
      <c r="C110" s="72"/>
      <c r="D110" s="71"/>
      <c r="E110" s="71"/>
      <c r="F110" s="72"/>
      <c r="G110" s="71"/>
      <c r="H110" s="18"/>
      <c r="I110" s="70">
        <v>35141000</v>
      </c>
      <c r="J110" s="42"/>
      <c r="K110" s="98"/>
      <c r="L110" s="99"/>
      <c r="M110" s="99"/>
      <c r="N110" s="98"/>
      <c r="O110" s="99"/>
      <c r="P110" s="99"/>
    </row>
    <row r="111" spans="1:16" ht="19.5" customHeight="1">
      <c r="A111" s="87" t="s">
        <v>162</v>
      </c>
      <c r="B111" s="77"/>
      <c r="C111" s="72"/>
      <c r="D111" s="77"/>
      <c r="E111" s="77"/>
      <c r="F111" s="72"/>
      <c r="G111" s="77"/>
      <c r="H111" s="18"/>
      <c r="I111" s="70">
        <v>33499000</v>
      </c>
      <c r="J111" s="42"/>
      <c r="K111" s="98"/>
      <c r="L111" s="99"/>
      <c r="M111" s="99"/>
      <c r="N111" s="98"/>
      <c r="O111" s="99"/>
      <c r="P111" s="99"/>
    </row>
    <row r="112" spans="1:16" ht="19.5" customHeight="1">
      <c r="A112" s="87" t="s">
        <v>163</v>
      </c>
      <c r="B112" s="77"/>
      <c r="C112" s="72"/>
      <c r="D112" s="77"/>
      <c r="E112" s="77"/>
      <c r="F112" s="72"/>
      <c r="G112" s="77"/>
      <c r="H112" s="18"/>
      <c r="I112" s="70">
        <v>169656000</v>
      </c>
      <c r="J112" s="42"/>
      <c r="K112" s="98"/>
      <c r="L112" s="99"/>
      <c r="M112" s="99"/>
      <c r="N112" s="98"/>
      <c r="O112" s="99"/>
      <c r="P112" s="99"/>
    </row>
    <row r="113" spans="1:16" ht="18.75" customHeight="1">
      <c r="A113" s="87" t="s">
        <v>164</v>
      </c>
      <c r="B113" s="77"/>
      <c r="C113" s="72"/>
      <c r="D113" s="77"/>
      <c r="E113" s="77"/>
      <c r="F113" s="72"/>
      <c r="G113" s="77"/>
      <c r="H113" s="18"/>
      <c r="I113" s="70">
        <v>19590000</v>
      </c>
      <c r="J113" s="42"/>
      <c r="K113" s="98"/>
      <c r="L113" s="99"/>
      <c r="M113" s="99"/>
      <c r="N113" s="98"/>
      <c r="O113" s="99"/>
      <c r="P113" s="99"/>
    </row>
    <row r="114" spans="1:16" ht="21" customHeight="1">
      <c r="A114" s="87" t="s">
        <v>165</v>
      </c>
      <c r="B114" s="77"/>
      <c r="C114" s="69"/>
      <c r="D114" s="77"/>
      <c r="E114" s="77"/>
      <c r="F114" s="69"/>
      <c r="G114" s="77"/>
      <c r="H114" s="37"/>
      <c r="I114" s="70">
        <v>2455951</v>
      </c>
      <c r="J114" s="42"/>
      <c r="K114" s="98"/>
      <c r="L114" s="99"/>
      <c r="M114" s="99"/>
      <c r="N114" s="98"/>
      <c r="O114" s="99"/>
      <c r="P114" s="99"/>
    </row>
    <row r="115" spans="1:16" ht="18.75" customHeight="1">
      <c r="A115" s="79" t="s">
        <v>166</v>
      </c>
      <c r="B115" s="77"/>
      <c r="C115" s="72"/>
      <c r="D115" s="77"/>
      <c r="E115" s="77"/>
      <c r="F115" s="72"/>
      <c r="G115" s="77"/>
      <c r="H115" s="18"/>
      <c r="I115" s="72">
        <v>26942000</v>
      </c>
      <c r="J115" s="40"/>
      <c r="K115" s="98"/>
      <c r="L115" s="99"/>
      <c r="M115" s="99"/>
      <c r="N115" s="98"/>
      <c r="O115" s="99"/>
      <c r="P115" s="99"/>
    </row>
    <row r="116" spans="1:16" ht="20.25" customHeight="1">
      <c r="A116" s="79" t="s">
        <v>154</v>
      </c>
      <c r="B116" s="77"/>
      <c r="C116" s="24"/>
      <c r="D116" s="77"/>
      <c r="E116" s="77"/>
      <c r="F116" s="24"/>
      <c r="G116" s="77"/>
      <c r="H116" s="18"/>
      <c r="I116" s="72">
        <v>25683000</v>
      </c>
      <c r="J116" s="40"/>
      <c r="K116" s="98"/>
      <c r="L116" s="99"/>
      <c r="M116" s="99"/>
      <c r="N116" s="98"/>
      <c r="O116" s="99"/>
      <c r="P116" s="99"/>
    </row>
    <row r="117" spans="1:16" ht="18" customHeight="1">
      <c r="A117" s="79" t="s">
        <v>167</v>
      </c>
      <c r="B117" s="77"/>
      <c r="C117" s="24"/>
      <c r="D117" s="77"/>
      <c r="E117" s="77"/>
      <c r="F117" s="24"/>
      <c r="G117" s="77"/>
      <c r="H117" s="37"/>
      <c r="I117" s="70">
        <v>100000000</v>
      </c>
      <c r="J117" s="40"/>
      <c r="K117" s="98"/>
      <c r="L117" s="99"/>
      <c r="M117" s="99"/>
      <c r="N117" s="98"/>
      <c r="O117" s="99"/>
      <c r="P117" s="99"/>
    </row>
    <row r="118" spans="1:16" s="20" customFormat="1" ht="18.75" customHeight="1">
      <c r="A118" s="26" t="s">
        <v>101</v>
      </c>
      <c r="B118" s="39"/>
      <c r="C118" s="39"/>
      <c r="D118" s="39"/>
      <c r="E118" s="39"/>
      <c r="F118" s="39"/>
      <c r="G118" s="39"/>
      <c r="H118" s="39"/>
      <c r="I118" s="39"/>
      <c r="J118" s="40"/>
      <c r="K118" s="99"/>
      <c r="L118" s="99"/>
      <c r="M118" s="99"/>
      <c r="N118" s="99"/>
      <c r="O118" s="99"/>
      <c r="P118" s="99"/>
    </row>
    <row r="119" spans="2:10" ht="16.5" customHeight="1">
      <c r="B119" s="94"/>
      <c r="C119" s="94"/>
      <c r="D119" s="85"/>
      <c r="E119" s="85"/>
      <c r="F119" s="85"/>
      <c r="G119" s="85"/>
      <c r="H119" s="85"/>
      <c r="I119" s="85"/>
      <c r="J119" s="85"/>
    </row>
    <row r="120" spans="1:10" ht="16.5" customHeight="1">
      <c r="A120" s="111"/>
      <c r="B120" s="94"/>
      <c r="C120" s="94"/>
      <c r="D120" s="25"/>
      <c r="E120" s="25"/>
      <c r="F120" s="25"/>
      <c r="G120" s="25"/>
      <c r="H120" s="25"/>
      <c r="I120" s="25"/>
      <c r="J120" s="25"/>
    </row>
    <row r="121" spans="2:10" ht="16.5" customHeight="1">
      <c r="B121" s="94"/>
      <c r="C121" s="94"/>
      <c r="D121" s="151"/>
      <c r="E121" s="151"/>
      <c r="F121" s="151"/>
      <c r="G121" s="151"/>
      <c r="H121" s="151"/>
      <c r="I121" s="151"/>
      <c r="J121" s="151"/>
    </row>
    <row r="122" spans="2:10" ht="16.5" customHeight="1">
      <c r="B122" s="94"/>
      <c r="C122" s="94"/>
      <c r="D122" s="86"/>
      <c r="E122" s="86"/>
      <c r="F122" s="86"/>
      <c r="G122" s="86"/>
      <c r="H122" s="86"/>
      <c r="I122" s="86"/>
      <c r="J122" s="86"/>
    </row>
    <row r="123" spans="2:10" ht="16.5" customHeight="1">
      <c r="B123" s="94"/>
      <c r="C123" s="94"/>
      <c r="D123" s="94"/>
      <c r="E123" s="94"/>
      <c r="F123" s="94"/>
      <c r="G123" s="94"/>
      <c r="H123" s="94"/>
      <c r="I123" s="94"/>
      <c r="J123" s="94"/>
    </row>
    <row r="124" spans="2:10" ht="16.5" customHeight="1">
      <c r="B124" s="94"/>
      <c r="C124" s="94"/>
      <c r="D124" s="94"/>
      <c r="E124" s="94"/>
      <c r="F124" s="94"/>
      <c r="G124" s="94"/>
      <c r="H124" s="94"/>
      <c r="I124" s="94"/>
      <c r="J124" s="94"/>
    </row>
    <row r="125" spans="1:16" ht="16.5" customHeight="1">
      <c r="A125" s="111"/>
      <c r="B125" s="25"/>
      <c r="C125" s="25"/>
      <c r="D125" s="151"/>
      <c r="E125" s="151"/>
      <c r="F125" s="151"/>
      <c r="G125" s="151"/>
      <c r="H125" s="151"/>
      <c r="I125" s="151"/>
      <c r="J125" s="151"/>
      <c r="K125" s="101"/>
      <c r="L125" s="101"/>
      <c r="M125" s="101"/>
      <c r="N125" s="101"/>
      <c r="O125" s="101"/>
      <c r="P125" s="101"/>
    </row>
    <row r="126" spans="2:10" ht="12.75">
      <c r="B126" s="94"/>
      <c r="C126" s="94"/>
      <c r="D126" s="94"/>
      <c r="E126" s="94"/>
      <c r="F126" s="94"/>
      <c r="G126" s="94"/>
      <c r="H126" s="94"/>
      <c r="I126" s="94"/>
      <c r="J126" s="94"/>
    </row>
    <row r="127" spans="2:10" ht="12.75">
      <c r="B127" s="94"/>
      <c r="C127" s="94"/>
      <c r="D127" s="94"/>
      <c r="E127" s="94"/>
      <c r="F127" s="94"/>
      <c r="G127" s="94"/>
      <c r="H127" s="94"/>
      <c r="I127" s="94"/>
      <c r="J127" s="94"/>
    </row>
  </sheetData>
  <sheetProtection/>
  <mergeCells count="15">
    <mergeCell ref="D121:J121"/>
    <mergeCell ref="D125:J125"/>
    <mergeCell ref="M54:M55"/>
    <mergeCell ref="K1:M1"/>
    <mergeCell ref="K4:M4"/>
    <mergeCell ref="B5:D5"/>
    <mergeCell ref="H5:J5"/>
    <mergeCell ref="E5:G5"/>
    <mergeCell ref="N1:P1"/>
    <mergeCell ref="N4:P4"/>
    <mergeCell ref="N5:P5"/>
    <mergeCell ref="P54:P55"/>
    <mergeCell ref="K5:M5"/>
    <mergeCell ref="A2:P2"/>
    <mergeCell ref="A3:P3"/>
  </mergeCells>
  <printOptions/>
  <pageMargins left="0.48" right="0.2" top="0.2" bottom="0.47" header="0.28" footer="0.5"/>
  <pageSetup horizontalDpi="600" verticalDpi="600" orientation="landscape" paperSize="9" scale="69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A2" sqref="A2:R2"/>
    </sheetView>
  </sheetViews>
  <sheetFormatPr defaultColWidth="8.88671875" defaultRowHeight="18.75"/>
  <cols>
    <col min="1" max="1" width="3.77734375" style="6" customWidth="1"/>
    <col min="2" max="2" width="22.5546875" style="6" customWidth="1"/>
    <col min="3" max="3" width="12.6640625" style="6" customWidth="1"/>
    <col min="4" max="4" width="11.4453125" style="6" customWidth="1"/>
    <col min="5" max="5" width="12.3359375" style="6" customWidth="1"/>
    <col min="6" max="6" width="11.77734375" style="6" customWidth="1"/>
    <col min="7" max="7" width="11.3359375" style="6" customWidth="1"/>
    <col min="8" max="8" width="9.99609375" style="6" customWidth="1"/>
    <col min="9" max="9" width="11.5546875" style="6" customWidth="1"/>
    <col min="10" max="11" width="14.21484375" style="6" customWidth="1"/>
    <col min="12" max="12" width="11.21484375" style="6" customWidth="1"/>
    <col min="13" max="13" width="11.99609375" style="154" hidden="1" customWidth="1"/>
    <col min="14" max="14" width="14.21484375" style="154" hidden="1" customWidth="1"/>
    <col min="15" max="15" width="12.88671875" style="154" hidden="1" customWidth="1"/>
    <col min="16" max="16" width="11.3359375" style="154" customWidth="1"/>
    <col min="17" max="17" width="11.99609375" style="154" bestFit="1" customWidth="1"/>
    <col min="18" max="18" width="15.4453125" style="154" bestFit="1" customWidth="1"/>
    <col min="19" max="16384" width="8.88671875" style="6" customWidth="1"/>
  </cols>
  <sheetData>
    <row r="1" spans="1:18" ht="18.75" customHeight="1">
      <c r="A1" s="128" t="s">
        <v>199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5">
      <c r="A2" s="130" t="s">
        <v>266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ht="15">
      <c r="G3" s="153"/>
    </row>
    <row r="4" spans="6:17" ht="15">
      <c r="F4" s="153"/>
      <c r="Q4" s="155" t="s">
        <v>200</v>
      </c>
    </row>
    <row r="5" spans="1:18" s="5" customFormat="1" ht="39.75" customHeight="1">
      <c r="A5" s="156" t="s">
        <v>201</v>
      </c>
      <c r="B5" s="156" t="s">
        <v>202</v>
      </c>
      <c r="C5" s="156" t="s">
        <v>203</v>
      </c>
      <c r="D5" s="156" t="s">
        <v>204</v>
      </c>
      <c r="E5" s="132" t="s">
        <v>205</v>
      </c>
      <c r="F5" s="132"/>
      <c r="G5" s="132"/>
      <c r="H5" s="132"/>
      <c r="I5" s="132" t="s">
        <v>206</v>
      </c>
      <c r="J5" s="132"/>
      <c r="K5" s="132"/>
      <c r="L5" s="132"/>
      <c r="M5" s="157" t="s">
        <v>207</v>
      </c>
      <c r="N5" s="157"/>
      <c r="O5" s="157"/>
      <c r="P5" s="158" t="s">
        <v>208</v>
      </c>
      <c r="Q5" s="158" t="s">
        <v>209</v>
      </c>
      <c r="R5" s="158" t="s">
        <v>210</v>
      </c>
    </row>
    <row r="6" spans="1:18" s="5" customFormat="1" ht="42.75">
      <c r="A6" s="159"/>
      <c r="B6" s="159"/>
      <c r="C6" s="159"/>
      <c r="D6" s="159"/>
      <c r="E6" s="112" t="s">
        <v>42</v>
      </c>
      <c r="F6" s="112" t="s">
        <v>211</v>
      </c>
      <c r="G6" s="112" t="s">
        <v>212</v>
      </c>
      <c r="H6" s="112" t="s">
        <v>213</v>
      </c>
      <c r="I6" s="112" t="s">
        <v>42</v>
      </c>
      <c r="J6" s="112" t="s">
        <v>211</v>
      </c>
      <c r="K6" s="112" t="s">
        <v>212</v>
      </c>
      <c r="L6" s="112" t="s">
        <v>213</v>
      </c>
      <c r="M6" s="160" t="s">
        <v>42</v>
      </c>
      <c r="N6" s="160" t="s">
        <v>211</v>
      </c>
      <c r="O6" s="160" t="s">
        <v>213</v>
      </c>
      <c r="P6" s="161"/>
      <c r="Q6" s="161"/>
      <c r="R6" s="161"/>
    </row>
    <row r="7" spans="1:19" s="5" customFormat="1" ht="14.25">
      <c r="A7" s="82"/>
      <c r="B7" s="162" t="s">
        <v>214</v>
      </c>
      <c r="C7" s="163"/>
      <c r="D7" s="164">
        <f>D8+D16+D40+D48</f>
        <v>25969</v>
      </c>
      <c r="E7" s="164">
        <f>E8+E16+E40+E48</f>
        <v>21404</v>
      </c>
      <c r="F7" s="164">
        <v>5760</v>
      </c>
      <c r="G7" s="164">
        <f aca="true" t="shared" si="0" ref="G7:R7">G8+G16+G40+G48</f>
        <v>9729.789999999999</v>
      </c>
      <c r="H7" s="164">
        <f t="shared" si="0"/>
        <v>6064.209999999999</v>
      </c>
      <c r="I7" s="164">
        <f t="shared" si="0"/>
        <v>21404</v>
      </c>
      <c r="J7" s="164">
        <f t="shared" si="0"/>
        <v>5610</v>
      </c>
      <c r="K7" s="164">
        <f t="shared" si="0"/>
        <v>9729.789999999999</v>
      </c>
      <c r="L7" s="164">
        <f t="shared" si="0"/>
        <v>6064.209999999999</v>
      </c>
      <c r="M7" s="164">
        <f t="shared" si="0"/>
        <v>0</v>
      </c>
      <c r="N7" s="164">
        <f t="shared" si="0"/>
        <v>0</v>
      </c>
      <c r="O7" s="164">
        <f t="shared" si="0"/>
        <v>0</v>
      </c>
      <c r="P7" s="164">
        <f t="shared" si="0"/>
        <v>11954.117</v>
      </c>
      <c r="Q7" s="164">
        <f t="shared" si="0"/>
        <v>9666.436</v>
      </c>
      <c r="R7" s="164">
        <f t="shared" si="0"/>
        <v>0</v>
      </c>
      <c r="S7" s="165">
        <f>P7-11954.117</f>
        <v>0</v>
      </c>
    </row>
    <row r="8" spans="1:18" ht="25.5">
      <c r="A8" s="82" t="s">
        <v>215</v>
      </c>
      <c r="B8" s="166" t="s">
        <v>216</v>
      </c>
      <c r="C8" s="167"/>
      <c r="D8" s="168">
        <f>SUM(D9:D15)</f>
        <v>0</v>
      </c>
      <c r="E8" s="168">
        <f>SUM(E9:E15)</f>
        <v>0</v>
      </c>
      <c r="F8" s="168">
        <v>0</v>
      </c>
      <c r="G8" s="168"/>
      <c r="H8" s="168">
        <f>SUM(H9:H15)</f>
        <v>0</v>
      </c>
      <c r="I8" s="168">
        <f>SUM(I9:I15)</f>
        <v>0</v>
      </c>
      <c r="J8" s="168">
        <f>SUM(J9:J15)</f>
        <v>0</v>
      </c>
      <c r="K8" s="168"/>
      <c r="L8" s="168">
        <f aca="true" t="shared" si="1" ref="L8:R8">SUM(L9:L15)</f>
        <v>0</v>
      </c>
      <c r="M8" s="168">
        <f t="shared" si="1"/>
        <v>0</v>
      </c>
      <c r="N8" s="168">
        <f t="shared" si="1"/>
        <v>0</v>
      </c>
      <c r="O8" s="168">
        <f t="shared" si="1"/>
        <v>0</v>
      </c>
      <c r="P8" s="168">
        <f t="shared" si="1"/>
        <v>216.603</v>
      </c>
      <c r="Q8" s="168">
        <f t="shared" si="1"/>
        <v>0</v>
      </c>
      <c r="R8" s="168">
        <f t="shared" si="1"/>
        <v>0</v>
      </c>
    </row>
    <row r="9" spans="1:18" ht="15">
      <c r="A9" s="169" t="s">
        <v>217</v>
      </c>
      <c r="B9" s="170" t="s">
        <v>218</v>
      </c>
      <c r="C9" s="167"/>
      <c r="D9" s="171"/>
      <c r="E9" s="172"/>
      <c r="F9" s="173"/>
      <c r="G9" s="174"/>
      <c r="H9" s="174"/>
      <c r="I9" s="172"/>
      <c r="J9" s="173"/>
      <c r="K9" s="174"/>
      <c r="L9" s="174"/>
      <c r="M9" s="175"/>
      <c r="N9" s="175"/>
      <c r="O9" s="175"/>
      <c r="P9" s="175">
        <f>58.017+31.347</f>
        <v>89.364</v>
      </c>
      <c r="Q9" s="175">
        <v>0</v>
      </c>
      <c r="R9" s="175"/>
    </row>
    <row r="10" spans="1:18" ht="58.5" customHeight="1">
      <c r="A10" s="176">
        <v>4</v>
      </c>
      <c r="B10" s="177" t="s">
        <v>219</v>
      </c>
      <c r="C10" s="178"/>
      <c r="D10" s="179"/>
      <c r="E10" s="172"/>
      <c r="F10" s="173"/>
      <c r="G10" s="174"/>
      <c r="H10" s="174"/>
      <c r="I10" s="172"/>
      <c r="J10" s="173"/>
      <c r="K10" s="174"/>
      <c r="L10" s="174"/>
      <c r="M10" s="175"/>
      <c r="N10" s="175"/>
      <c r="O10" s="175"/>
      <c r="P10" s="175">
        <f>15.931+8.132+3.356</f>
        <v>27.418999999999997</v>
      </c>
      <c r="Q10" s="175">
        <v>0</v>
      </c>
      <c r="R10" s="175"/>
    </row>
    <row r="11" spans="1:18" ht="25.5">
      <c r="A11" s="176">
        <v>8</v>
      </c>
      <c r="B11" s="177" t="s">
        <v>220</v>
      </c>
      <c r="C11" s="180"/>
      <c r="D11" s="181"/>
      <c r="E11" s="172"/>
      <c r="F11" s="173"/>
      <c r="G11" s="174"/>
      <c r="H11" s="174"/>
      <c r="I11" s="172"/>
      <c r="J11" s="173"/>
      <c r="K11" s="174"/>
      <c r="L11" s="174"/>
      <c r="M11" s="175"/>
      <c r="N11" s="175"/>
      <c r="O11" s="175"/>
      <c r="P11" s="175">
        <f>1.701+12.172+26.144</f>
        <v>40.016999999999996</v>
      </c>
      <c r="Q11" s="175">
        <v>0</v>
      </c>
      <c r="R11" s="175"/>
    </row>
    <row r="12" spans="1:18" s="5" customFormat="1" ht="38.25">
      <c r="A12" s="176">
        <v>9</v>
      </c>
      <c r="B12" s="177" t="s">
        <v>221</v>
      </c>
      <c r="C12" s="182"/>
      <c r="D12" s="183"/>
      <c r="E12" s="184"/>
      <c r="F12" s="185"/>
      <c r="G12" s="186"/>
      <c r="H12" s="174"/>
      <c r="I12" s="184"/>
      <c r="J12" s="185"/>
      <c r="K12" s="186"/>
      <c r="L12" s="174"/>
      <c r="M12" s="187"/>
      <c r="N12" s="187"/>
      <c r="O12" s="187"/>
      <c r="P12" s="187">
        <f>8.354+2.393</f>
        <v>10.747</v>
      </c>
      <c r="Q12" s="187">
        <v>0</v>
      </c>
      <c r="R12" s="187"/>
    </row>
    <row r="13" spans="1:18" ht="38.25">
      <c r="A13" s="176">
        <v>10</v>
      </c>
      <c r="B13" s="177" t="s">
        <v>222</v>
      </c>
      <c r="C13" s="178"/>
      <c r="D13" s="179"/>
      <c r="E13" s="172"/>
      <c r="F13" s="173"/>
      <c r="G13" s="174"/>
      <c r="H13" s="174"/>
      <c r="I13" s="172"/>
      <c r="J13" s="173"/>
      <c r="K13" s="174"/>
      <c r="L13" s="174"/>
      <c r="M13" s="175"/>
      <c r="N13" s="175"/>
      <c r="O13" s="175"/>
      <c r="P13" s="175">
        <f>16.464+1.254+4.4</f>
        <v>22.118000000000002</v>
      </c>
      <c r="Q13" s="175">
        <v>0</v>
      </c>
      <c r="R13" s="175"/>
    </row>
    <row r="14" spans="1:18" ht="15">
      <c r="A14" s="176">
        <v>14</v>
      </c>
      <c r="B14" s="188" t="s">
        <v>223</v>
      </c>
      <c r="C14" s="178"/>
      <c r="D14" s="179"/>
      <c r="E14" s="172"/>
      <c r="F14" s="173"/>
      <c r="G14" s="174"/>
      <c r="H14" s="174"/>
      <c r="I14" s="172"/>
      <c r="J14" s="173"/>
      <c r="K14" s="174"/>
      <c r="L14" s="174"/>
      <c r="M14" s="175"/>
      <c r="N14" s="175"/>
      <c r="O14" s="175"/>
      <c r="P14" s="175">
        <v>0.709</v>
      </c>
      <c r="Q14" s="175">
        <v>0</v>
      </c>
      <c r="R14" s="175"/>
    </row>
    <row r="15" spans="1:18" ht="15">
      <c r="A15" s="176">
        <v>15</v>
      </c>
      <c r="B15" s="177" t="s">
        <v>224</v>
      </c>
      <c r="C15" s="189"/>
      <c r="D15" s="190"/>
      <c r="E15" s="172"/>
      <c r="F15" s="173"/>
      <c r="G15" s="174"/>
      <c r="H15" s="174"/>
      <c r="I15" s="172"/>
      <c r="J15" s="173"/>
      <c r="K15" s="174"/>
      <c r="L15" s="174"/>
      <c r="M15" s="175"/>
      <c r="N15" s="175"/>
      <c r="O15" s="175"/>
      <c r="P15" s="175">
        <f>6.939+19.29</f>
        <v>26.229</v>
      </c>
      <c r="Q15" s="175">
        <v>0</v>
      </c>
      <c r="R15" s="175"/>
    </row>
    <row r="16" spans="1:18" s="5" customFormat="1" ht="25.5">
      <c r="A16" s="82" t="s">
        <v>225</v>
      </c>
      <c r="B16" s="191" t="s">
        <v>226</v>
      </c>
      <c r="C16" s="192"/>
      <c r="D16" s="168">
        <f aca="true" t="shared" si="2" ref="D16:R16">SUM(D17:D39)</f>
        <v>16912</v>
      </c>
      <c r="E16" s="168">
        <f t="shared" si="2"/>
        <v>15787</v>
      </c>
      <c r="F16" s="168">
        <f t="shared" si="2"/>
        <v>4736.1</v>
      </c>
      <c r="G16" s="168">
        <f t="shared" si="2"/>
        <v>7735.629999999999</v>
      </c>
      <c r="H16" s="168">
        <f t="shared" si="2"/>
        <v>3315.27</v>
      </c>
      <c r="I16" s="168">
        <f t="shared" si="2"/>
        <v>15787</v>
      </c>
      <c r="J16" s="168">
        <f t="shared" si="2"/>
        <v>4736.1</v>
      </c>
      <c r="K16" s="168">
        <f t="shared" si="2"/>
        <v>7735.629999999999</v>
      </c>
      <c r="L16" s="168">
        <f t="shared" si="2"/>
        <v>3315.27</v>
      </c>
      <c r="M16" s="168">
        <f t="shared" si="2"/>
        <v>0</v>
      </c>
      <c r="N16" s="168">
        <f t="shared" si="2"/>
        <v>0</v>
      </c>
      <c r="O16" s="168">
        <f t="shared" si="2"/>
        <v>0</v>
      </c>
      <c r="P16" s="168">
        <f t="shared" si="2"/>
        <v>9200.679</v>
      </c>
      <c r="Q16" s="168">
        <f t="shared" si="2"/>
        <v>6586.321</v>
      </c>
      <c r="R16" s="168">
        <f t="shared" si="2"/>
        <v>0</v>
      </c>
    </row>
    <row r="17" spans="1:18" ht="25.5">
      <c r="A17" s="169">
        <v>1</v>
      </c>
      <c r="B17" s="28" t="s">
        <v>227</v>
      </c>
      <c r="C17" s="178"/>
      <c r="D17" s="179">
        <v>880</v>
      </c>
      <c r="E17" s="172">
        <v>880</v>
      </c>
      <c r="F17" s="173">
        <v>264</v>
      </c>
      <c r="G17" s="173">
        <v>431.2</v>
      </c>
      <c r="H17" s="173">
        <f>E17-F17-G17</f>
        <v>184.8</v>
      </c>
      <c r="I17" s="172">
        <v>880</v>
      </c>
      <c r="J17" s="173">
        <v>264</v>
      </c>
      <c r="K17" s="173">
        <v>431.2</v>
      </c>
      <c r="L17" s="173">
        <f>I17-J17-K17</f>
        <v>184.8</v>
      </c>
      <c r="M17" s="175"/>
      <c r="N17" s="175"/>
      <c r="O17" s="175"/>
      <c r="P17" s="175">
        <v>860.228</v>
      </c>
      <c r="Q17" s="175">
        <f>I17-P17</f>
        <v>19.772000000000048</v>
      </c>
      <c r="R17" s="175"/>
    </row>
    <row r="18" spans="1:18" ht="15">
      <c r="A18" s="169">
        <v>2</v>
      </c>
      <c r="B18" s="28" t="s">
        <v>228</v>
      </c>
      <c r="C18" s="178"/>
      <c r="D18" s="179">
        <v>650</v>
      </c>
      <c r="E18" s="172">
        <v>650</v>
      </c>
      <c r="F18" s="173">
        <v>195</v>
      </c>
      <c r="G18" s="173">
        <v>318.5</v>
      </c>
      <c r="H18" s="173">
        <f aca="true" t="shared" si="3" ref="H18:H49">E18-F18-G18</f>
        <v>136.5</v>
      </c>
      <c r="I18" s="172">
        <v>650</v>
      </c>
      <c r="J18" s="173">
        <v>195</v>
      </c>
      <c r="K18" s="173">
        <v>318.5</v>
      </c>
      <c r="L18" s="173">
        <f aca="true" t="shared" si="4" ref="L18:L39">I18-J18-K18</f>
        <v>136.5</v>
      </c>
      <c r="M18" s="175"/>
      <c r="N18" s="175"/>
      <c r="O18" s="175"/>
      <c r="P18" s="175">
        <v>643.662</v>
      </c>
      <c r="Q18" s="175">
        <f aca="true" t="shared" si="5" ref="Q18:Q47">I18-P18</f>
        <v>6.337999999999965</v>
      </c>
      <c r="R18" s="175"/>
    </row>
    <row r="19" spans="1:18" ht="38.25">
      <c r="A19" s="169">
        <v>3</v>
      </c>
      <c r="B19" s="28" t="s">
        <v>229</v>
      </c>
      <c r="C19" s="178"/>
      <c r="D19" s="179">
        <v>1000</v>
      </c>
      <c r="E19" s="172">
        <v>1000</v>
      </c>
      <c r="F19" s="173">
        <v>300</v>
      </c>
      <c r="G19" s="173">
        <v>489.99999999999994</v>
      </c>
      <c r="H19" s="173">
        <f t="shared" si="3"/>
        <v>210.00000000000006</v>
      </c>
      <c r="I19" s="172">
        <v>1000</v>
      </c>
      <c r="J19" s="173">
        <v>300</v>
      </c>
      <c r="K19" s="173">
        <v>489.99999999999994</v>
      </c>
      <c r="L19" s="173">
        <f t="shared" si="4"/>
        <v>210.00000000000006</v>
      </c>
      <c r="M19" s="175"/>
      <c r="N19" s="175"/>
      <c r="O19" s="175"/>
      <c r="P19" s="175">
        <v>894.143</v>
      </c>
      <c r="Q19" s="175">
        <f t="shared" si="5"/>
        <v>105.85699999999997</v>
      </c>
      <c r="R19" s="175"/>
    </row>
    <row r="20" spans="1:18" ht="25.5">
      <c r="A20" s="169">
        <v>4</v>
      </c>
      <c r="B20" s="28" t="s">
        <v>230</v>
      </c>
      <c r="C20" s="178"/>
      <c r="D20" s="179">
        <v>1220</v>
      </c>
      <c r="E20" s="172">
        <v>1220</v>
      </c>
      <c r="F20" s="173">
        <v>366</v>
      </c>
      <c r="G20" s="173">
        <v>597.8</v>
      </c>
      <c r="H20" s="173">
        <f t="shared" si="3"/>
        <v>256.20000000000005</v>
      </c>
      <c r="I20" s="172">
        <v>1220</v>
      </c>
      <c r="J20" s="173">
        <v>366</v>
      </c>
      <c r="K20" s="173">
        <v>597.8</v>
      </c>
      <c r="L20" s="173">
        <f t="shared" si="4"/>
        <v>256.20000000000005</v>
      </c>
      <c r="M20" s="175"/>
      <c r="N20" s="175"/>
      <c r="O20" s="175"/>
      <c r="P20" s="175">
        <v>385.364</v>
      </c>
      <c r="Q20" s="175">
        <f t="shared" si="5"/>
        <v>834.636</v>
      </c>
      <c r="R20" s="175"/>
    </row>
    <row r="21" spans="1:18" ht="15">
      <c r="A21" s="169">
        <v>5</v>
      </c>
      <c r="B21" s="28" t="s">
        <v>231</v>
      </c>
      <c r="C21" s="178"/>
      <c r="D21" s="179">
        <v>450</v>
      </c>
      <c r="E21" s="172">
        <v>450</v>
      </c>
      <c r="F21" s="173">
        <v>135</v>
      </c>
      <c r="G21" s="173">
        <v>220.5</v>
      </c>
      <c r="H21" s="173">
        <f t="shared" si="3"/>
        <v>94.5</v>
      </c>
      <c r="I21" s="172">
        <v>450</v>
      </c>
      <c r="J21" s="173">
        <v>135</v>
      </c>
      <c r="K21" s="173">
        <v>220.5</v>
      </c>
      <c r="L21" s="173">
        <f t="shared" si="4"/>
        <v>94.5</v>
      </c>
      <c r="M21" s="175"/>
      <c r="N21" s="175"/>
      <c r="O21" s="175"/>
      <c r="P21" s="175">
        <v>0</v>
      </c>
      <c r="Q21" s="175">
        <f t="shared" si="5"/>
        <v>450</v>
      </c>
      <c r="R21" s="175"/>
    </row>
    <row r="22" spans="1:18" ht="26.25">
      <c r="A22" s="169">
        <v>6</v>
      </c>
      <c r="B22" s="193" t="s">
        <v>232</v>
      </c>
      <c r="C22" s="189"/>
      <c r="D22" s="190">
        <v>1170</v>
      </c>
      <c r="E22" s="172">
        <v>1170</v>
      </c>
      <c r="F22" s="173">
        <v>351</v>
      </c>
      <c r="G22" s="173">
        <v>573.3</v>
      </c>
      <c r="H22" s="173">
        <f t="shared" si="3"/>
        <v>245.70000000000005</v>
      </c>
      <c r="I22" s="172">
        <v>1170</v>
      </c>
      <c r="J22" s="173">
        <v>351</v>
      </c>
      <c r="K22" s="173">
        <v>573.3</v>
      </c>
      <c r="L22" s="173">
        <f t="shared" si="4"/>
        <v>245.70000000000005</v>
      </c>
      <c r="M22" s="175"/>
      <c r="N22" s="175"/>
      <c r="O22" s="175"/>
      <c r="P22" s="175">
        <v>756.15</v>
      </c>
      <c r="Q22" s="175">
        <f t="shared" si="5"/>
        <v>413.85</v>
      </c>
      <c r="R22" s="175"/>
    </row>
    <row r="23" spans="1:18" ht="25.5">
      <c r="A23" s="169">
        <v>7</v>
      </c>
      <c r="B23" s="28" t="s">
        <v>233</v>
      </c>
      <c r="C23" s="189"/>
      <c r="D23" s="190">
        <v>750</v>
      </c>
      <c r="E23" s="172">
        <v>750</v>
      </c>
      <c r="F23" s="173">
        <v>225</v>
      </c>
      <c r="G23" s="173">
        <v>367.5</v>
      </c>
      <c r="H23" s="173">
        <f t="shared" si="3"/>
        <v>157.5</v>
      </c>
      <c r="I23" s="172">
        <v>750</v>
      </c>
      <c r="J23" s="173">
        <v>225</v>
      </c>
      <c r="K23" s="173">
        <v>367.5</v>
      </c>
      <c r="L23" s="173">
        <f t="shared" si="4"/>
        <v>157.5</v>
      </c>
      <c r="M23" s="175"/>
      <c r="N23" s="175"/>
      <c r="O23" s="175"/>
      <c r="P23" s="175">
        <v>238.6</v>
      </c>
      <c r="Q23" s="175">
        <f t="shared" si="5"/>
        <v>511.4</v>
      </c>
      <c r="R23" s="175"/>
    </row>
    <row r="24" spans="1:18" ht="25.5">
      <c r="A24" s="169">
        <v>8</v>
      </c>
      <c r="B24" s="28" t="s">
        <v>234</v>
      </c>
      <c r="C24" s="189"/>
      <c r="D24" s="190">
        <v>1125</v>
      </c>
      <c r="E24" s="172">
        <v>0</v>
      </c>
      <c r="F24" s="173">
        <v>0</v>
      </c>
      <c r="G24" s="173">
        <v>0</v>
      </c>
      <c r="H24" s="173">
        <f t="shared" si="3"/>
        <v>0</v>
      </c>
      <c r="I24" s="172">
        <v>0</v>
      </c>
      <c r="J24" s="173">
        <v>0</v>
      </c>
      <c r="K24" s="173">
        <v>0</v>
      </c>
      <c r="L24" s="173">
        <f t="shared" si="4"/>
        <v>0</v>
      </c>
      <c r="M24" s="175"/>
      <c r="N24" s="175"/>
      <c r="O24" s="175"/>
      <c r="P24" s="175">
        <v>0</v>
      </c>
      <c r="Q24" s="175">
        <f t="shared" si="5"/>
        <v>0</v>
      </c>
      <c r="R24" s="175"/>
    </row>
    <row r="25" spans="1:18" ht="25.5">
      <c r="A25" s="169">
        <v>9</v>
      </c>
      <c r="B25" s="28" t="s">
        <v>235</v>
      </c>
      <c r="C25" s="189"/>
      <c r="D25" s="190">
        <v>180</v>
      </c>
      <c r="E25" s="172">
        <v>180</v>
      </c>
      <c r="F25" s="173">
        <v>54</v>
      </c>
      <c r="G25" s="173">
        <v>88.19999999999999</v>
      </c>
      <c r="H25" s="173">
        <f t="shared" si="3"/>
        <v>37.80000000000001</v>
      </c>
      <c r="I25" s="172">
        <v>180</v>
      </c>
      <c r="J25" s="173">
        <v>54</v>
      </c>
      <c r="K25" s="173">
        <v>88.19999999999999</v>
      </c>
      <c r="L25" s="173">
        <f t="shared" si="4"/>
        <v>37.80000000000001</v>
      </c>
      <c r="M25" s="175"/>
      <c r="N25" s="175"/>
      <c r="O25" s="175"/>
      <c r="P25" s="175">
        <v>120.781</v>
      </c>
      <c r="Q25" s="175">
        <f t="shared" si="5"/>
        <v>59.218999999999994</v>
      </c>
      <c r="R25" s="175"/>
    </row>
    <row r="26" spans="1:18" ht="25.5">
      <c r="A26" s="169">
        <v>10</v>
      </c>
      <c r="B26" s="28" t="s">
        <v>236</v>
      </c>
      <c r="C26" s="189"/>
      <c r="D26" s="190">
        <v>750</v>
      </c>
      <c r="E26" s="172">
        <v>750</v>
      </c>
      <c r="F26" s="173">
        <v>225</v>
      </c>
      <c r="G26" s="173">
        <v>367.5</v>
      </c>
      <c r="H26" s="173">
        <f t="shared" si="3"/>
        <v>157.5</v>
      </c>
      <c r="I26" s="172">
        <v>750</v>
      </c>
      <c r="J26" s="173">
        <v>225</v>
      </c>
      <c r="K26" s="173">
        <v>367.5</v>
      </c>
      <c r="L26" s="173">
        <f t="shared" si="4"/>
        <v>157.5</v>
      </c>
      <c r="M26" s="175"/>
      <c r="N26" s="175"/>
      <c r="O26" s="175"/>
      <c r="P26" s="175">
        <v>395.573</v>
      </c>
      <c r="Q26" s="175">
        <f t="shared" si="5"/>
        <v>354.427</v>
      </c>
      <c r="R26" s="175"/>
    </row>
    <row r="27" spans="1:18" ht="25.5">
      <c r="A27" s="169">
        <v>11</v>
      </c>
      <c r="B27" s="28" t="s">
        <v>237</v>
      </c>
      <c r="C27" s="182"/>
      <c r="D27" s="194">
        <v>450</v>
      </c>
      <c r="E27" s="172">
        <v>450</v>
      </c>
      <c r="F27" s="173">
        <v>135</v>
      </c>
      <c r="G27" s="173">
        <v>220.5</v>
      </c>
      <c r="H27" s="173">
        <f t="shared" si="3"/>
        <v>94.5</v>
      </c>
      <c r="I27" s="172">
        <v>450</v>
      </c>
      <c r="J27" s="173">
        <v>135</v>
      </c>
      <c r="K27" s="173">
        <v>220.5</v>
      </c>
      <c r="L27" s="173">
        <f t="shared" si="4"/>
        <v>94.5</v>
      </c>
      <c r="M27" s="187"/>
      <c r="N27" s="187"/>
      <c r="O27" s="187"/>
      <c r="P27" s="187">
        <v>388.279</v>
      </c>
      <c r="Q27" s="175">
        <f t="shared" si="5"/>
        <v>61.721000000000004</v>
      </c>
      <c r="R27" s="187"/>
    </row>
    <row r="28" spans="1:18" ht="25.5">
      <c r="A28" s="169">
        <v>12</v>
      </c>
      <c r="B28" s="195" t="s">
        <v>238</v>
      </c>
      <c r="C28" s="178"/>
      <c r="D28" s="179">
        <v>1200</v>
      </c>
      <c r="E28" s="172">
        <v>1200</v>
      </c>
      <c r="F28" s="173">
        <v>360</v>
      </c>
      <c r="G28" s="173">
        <v>588</v>
      </c>
      <c r="H28" s="173">
        <f t="shared" si="3"/>
        <v>252</v>
      </c>
      <c r="I28" s="172">
        <v>1200</v>
      </c>
      <c r="J28" s="173">
        <v>360</v>
      </c>
      <c r="K28" s="173">
        <v>588</v>
      </c>
      <c r="L28" s="173">
        <f t="shared" si="4"/>
        <v>252</v>
      </c>
      <c r="M28" s="175"/>
      <c r="N28" s="175"/>
      <c r="O28" s="175"/>
      <c r="P28" s="175">
        <v>998.201</v>
      </c>
      <c r="Q28" s="175">
        <f t="shared" si="5"/>
        <v>201.79899999999998</v>
      </c>
      <c r="R28" s="175"/>
    </row>
    <row r="29" spans="1:18" ht="38.25">
      <c r="A29" s="169">
        <v>13</v>
      </c>
      <c r="B29" s="28" t="s">
        <v>239</v>
      </c>
      <c r="C29" s="178"/>
      <c r="D29" s="179">
        <v>700</v>
      </c>
      <c r="E29" s="172">
        <v>700</v>
      </c>
      <c r="F29" s="173">
        <v>210</v>
      </c>
      <c r="G29" s="173">
        <v>343</v>
      </c>
      <c r="H29" s="173">
        <f t="shared" si="3"/>
        <v>147</v>
      </c>
      <c r="I29" s="172">
        <v>700</v>
      </c>
      <c r="J29" s="173">
        <v>210</v>
      </c>
      <c r="K29" s="173">
        <v>343</v>
      </c>
      <c r="L29" s="173">
        <f t="shared" si="4"/>
        <v>147</v>
      </c>
      <c r="M29" s="175"/>
      <c r="N29" s="175"/>
      <c r="O29" s="175"/>
      <c r="P29" s="175">
        <v>653.803</v>
      </c>
      <c r="Q29" s="175">
        <f t="shared" si="5"/>
        <v>46.197</v>
      </c>
      <c r="R29" s="175"/>
    </row>
    <row r="30" spans="1:18" ht="15">
      <c r="A30" s="169">
        <v>14</v>
      </c>
      <c r="B30" s="28" t="s">
        <v>240</v>
      </c>
      <c r="C30" s="178"/>
      <c r="D30" s="179">
        <v>652</v>
      </c>
      <c r="E30" s="172">
        <v>652</v>
      </c>
      <c r="F30" s="173">
        <v>195.6</v>
      </c>
      <c r="G30" s="173">
        <v>319.47999999999996</v>
      </c>
      <c r="H30" s="173">
        <f t="shared" si="3"/>
        <v>136.92000000000002</v>
      </c>
      <c r="I30" s="172">
        <v>652</v>
      </c>
      <c r="J30" s="173">
        <v>195.6</v>
      </c>
      <c r="K30" s="173">
        <v>319.47999999999996</v>
      </c>
      <c r="L30" s="173">
        <f t="shared" si="4"/>
        <v>136.92000000000002</v>
      </c>
      <c r="M30" s="175"/>
      <c r="N30" s="175"/>
      <c r="O30" s="175"/>
      <c r="P30" s="175">
        <v>494.454</v>
      </c>
      <c r="Q30" s="175">
        <f t="shared" si="5"/>
        <v>157.546</v>
      </c>
      <c r="R30" s="175"/>
    </row>
    <row r="31" spans="1:18" ht="15">
      <c r="A31" s="169">
        <v>15</v>
      </c>
      <c r="B31" s="28" t="s">
        <v>240</v>
      </c>
      <c r="C31" s="178"/>
      <c r="D31" s="179">
        <v>560</v>
      </c>
      <c r="E31" s="172">
        <v>560</v>
      </c>
      <c r="F31" s="173">
        <v>168</v>
      </c>
      <c r="G31" s="173">
        <v>274.4</v>
      </c>
      <c r="H31" s="173">
        <f t="shared" si="3"/>
        <v>117.60000000000002</v>
      </c>
      <c r="I31" s="172">
        <v>560</v>
      </c>
      <c r="J31" s="173">
        <v>168</v>
      </c>
      <c r="K31" s="173">
        <v>274.4</v>
      </c>
      <c r="L31" s="173">
        <f t="shared" si="4"/>
        <v>117.60000000000002</v>
      </c>
      <c r="M31" s="175"/>
      <c r="N31" s="175"/>
      <c r="O31" s="175"/>
      <c r="P31" s="175">
        <v>536.083</v>
      </c>
      <c r="Q31" s="175">
        <f t="shared" si="5"/>
        <v>23.91700000000003</v>
      </c>
      <c r="R31" s="175"/>
    </row>
    <row r="32" spans="1:18" ht="26.25">
      <c r="A32" s="169">
        <v>16</v>
      </c>
      <c r="B32" s="196" t="s">
        <v>241</v>
      </c>
      <c r="C32" s="178"/>
      <c r="D32" s="179">
        <v>550</v>
      </c>
      <c r="E32" s="172">
        <v>550</v>
      </c>
      <c r="F32" s="173">
        <v>165</v>
      </c>
      <c r="G32" s="173">
        <v>269.5</v>
      </c>
      <c r="H32" s="173">
        <f t="shared" si="3"/>
        <v>115.5</v>
      </c>
      <c r="I32" s="172">
        <v>550</v>
      </c>
      <c r="J32" s="173">
        <v>165</v>
      </c>
      <c r="K32" s="173">
        <v>269.5</v>
      </c>
      <c r="L32" s="173">
        <f t="shared" si="4"/>
        <v>115.5</v>
      </c>
      <c r="M32" s="175"/>
      <c r="N32" s="175"/>
      <c r="O32" s="175"/>
      <c r="P32" s="175">
        <v>453.876</v>
      </c>
      <c r="Q32" s="175">
        <f t="shared" si="5"/>
        <v>96.12400000000002</v>
      </c>
      <c r="R32" s="175"/>
    </row>
    <row r="33" spans="1:18" ht="24.75" customHeight="1">
      <c r="A33" s="169">
        <v>17</v>
      </c>
      <c r="B33" s="28" t="s">
        <v>242</v>
      </c>
      <c r="C33" s="178"/>
      <c r="D33" s="179">
        <v>550</v>
      </c>
      <c r="E33" s="172">
        <v>550</v>
      </c>
      <c r="F33" s="173">
        <v>165</v>
      </c>
      <c r="G33" s="173">
        <v>269.5</v>
      </c>
      <c r="H33" s="173">
        <f t="shared" si="3"/>
        <v>115.5</v>
      </c>
      <c r="I33" s="172">
        <v>550</v>
      </c>
      <c r="J33" s="173">
        <v>165</v>
      </c>
      <c r="K33" s="173">
        <v>269.5</v>
      </c>
      <c r="L33" s="173">
        <f t="shared" si="4"/>
        <v>115.5</v>
      </c>
      <c r="M33" s="175"/>
      <c r="N33" s="175"/>
      <c r="O33" s="175"/>
      <c r="P33" s="175">
        <v>458.783</v>
      </c>
      <c r="Q33" s="175">
        <f t="shared" si="5"/>
        <v>91.21699999999998</v>
      </c>
      <c r="R33" s="175"/>
    </row>
    <row r="34" spans="1:18" ht="24.75" customHeight="1">
      <c r="A34" s="169">
        <v>18</v>
      </c>
      <c r="B34" s="28" t="s">
        <v>243</v>
      </c>
      <c r="C34" s="178"/>
      <c r="D34" s="179">
        <v>500</v>
      </c>
      <c r="E34" s="172">
        <v>500</v>
      </c>
      <c r="F34" s="173">
        <v>150</v>
      </c>
      <c r="G34" s="173">
        <v>244.99999999999997</v>
      </c>
      <c r="H34" s="173">
        <f t="shared" si="3"/>
        <v>105.00000000000003</v>
      </c>
      <c r="I34" s="172">
        <v>500</v>
      </c>
      <c r="J34" s="173">
        <v>150</v>
      </c>
      <c r="K34" s="173">
        <v>244.99999999999997</v>
      </c>
      <c r="L34" s="173">
        <f t="shared" si="4"/>
        <v>105.00000000000003</v>
      </c>
      <c r="M34" s="175"/>
      <c r="N34" s="175"/>
      <c r="O34" s="175"/>
      <c r="P34" s="175">
        <v>380.307</v>
      </c>
      <c r="Q34" s="175">
        <f t="shared" si="5"/>
        <v>119.69299999999998</v>
      </c>
      <c r="R34" s="175"/>
    </row>
    <row r="35" spans="1:18" ht="38.25">
      <c r="A35" s="169">
        <v>19</v>
      </c>
      <c r="B35" s="28" t="s">
        <v>244</v>
      </c>
      <c r="C35" s="178"/>
      <c r="D35" s="179">
        <v>1125</v>
      </c>
      <c r="E35" s="172">
        <v>1125</v>
      </c>
      <c r="F35" s="173">
        <v>337.5</v>
      </c>
      <c r="G35" s="173">
        <v>551.25</v>
      </c>
      <c r="H35" s="173">
        <f t="shared" si="3"/>
        <v>236.25</v>
      </c>
      <c r="I35" s="172">
        <v>1125</v>
      </c>
      <c r="J35" s="173">
        <v>337.5</v>
      </c>
      <c r="K35" s="173">
        <v>551.25</v>
      </c>
      <c r="L35" s="173">
        <f t="shared" si="4"/>
        <v>236.25</v>
      </c>
      <c r="M35" s="175"/>
      <c r="N35" s="175"/>
      <c r="O35" s="175"/>
      <c r="P35" s="175">
        <v>0</v>
      </c>
      <c r="Q35" s="175">
        <f t="shared" si="5"/>
        <v>1125</v>
      </c>
      <c r="R35" s="175"/>
    </row>
    <row r="36" spans="1:18" ht="24.75" customHeight="1">
      <c r="A36" s="169">
        <v>20</v>
      </c>
      <c r="B36" s="28" t="s">
        <v>245</v>
      </c>
      <c r="C36" s="178"/>
      <c r="D36" s="179">
        <v>900</v>
      </c>
      <c r="E36" s="172">
        <v>900</v>
      </c>
      <c r="F36" s="173">
        <v>270</v>
      </c>
      <c r="G36" s="173">
        <v>441</v>
      </c>
      <c r="H36" s="173">
        <f t="shared" si="3"/>
        <v>189</v>
      </c>
      <c r="I36" s="172">
        <v>900</v>
      </c>
      <c r="J36" s="173">
        <v>270</v>
      </c>
      <c r="K36" s="173">
        <v>441</v>
      </c>
      <c r="L36" s="173">
        <f t="shared" si="4"/>
        <v>189</v>
      </c>
      <c r="M36" s="175"/>
      <c r="N36" s="175"/>
      <c r="O36" s="175"/>
      <c r="P36" s="175">
        <v>45.09</v>
      </c>
      <c r="Q36" s="175">
        <f t="shared" si="5"/>
        <v>854.91</v>
      </c>
      <c r="R36" s="175"/>
    </row>
    <row r="37" spans="1:18" ht="24.75" customHeight="1">
      <c r="A37" s="169">
        <v>21</v>
      </c>
      <c r="B37" s="28" t="s">
        <v>246</v>
      </c>
      <c r="C37" s="178"/>
      <c r="D37" s="179">
        <v>350</v>
      </c>
      <c r="E37" s="172">
        <v>350</v>
      </c>
      <c r="F37" s="173">
        <v>105</v>
      </c>
      <c r="G37" s="173">
        <v>171.5</v>
      </c>
      <c r="H37" s="173">
        <f t="shared" si="3"/>
        <v>73.5</v>
      </c>
      <c r="I37" s="172">
        <v>350</v>
      </c>
      <c r="J37" s="173">
        <v>105</v>
      </c>
      <c r="K37" s="173">
        <v>171.5</v>
      </c>
      <c r="L37" s="173">
        <f t="shared" si="4"/>
        <v>73.5</v>
      </c>
      <c r="M37" s="175"/>
      <c r="N37" s="175"/>
      <c r="O37" s="175"/>
      <c r="P37" s="175"/>
      <c r="Q37" s="175">
        <f t="shared" si="5"/>
        <v>350</v>
      </c>
      <c r="R37" s="175"/>
    </row>
    <row r="38" spans="1:18" ht="24.75" customHeight="1">
      <c r="A38" s="169">
        <v>22</v>
      </c>
      <c r="B38" s="28" t="s">
        <v>247</v>
      </c>
      <c r="C38" s="178"/>
      <c r="D38" s="179">
        <v>350</v>
      </c>
      <c r="E38" s="172">
        <v>350</v>
      </c>
      <c r="F38" s="173">
        <v>105</v>
      </c>
      <c r="G38" s="173">
        <v>171.5</v>
      </c>
      <c r="H38" s="173">
        <f t="shared" si="3"/>
        <v>73.5</v>
      </c>
      <c r="I38" s="172">
        <v>350</v>
      </c>
      <c r="J38" s="173">
        <v>105</v>
      </c>
      <c r="K38" s="173">
        <v>171.5</v>
      </c>
      <c r="L38" s="173">
        <f t="shared" si="4"/>
        <v>73.5</v>
      </c>
      <c r="M38" s="175"/>
      <c r="N38" s="175"/>
      <c r="O38" s="175"/>
      <c r="P38" s="175"/>
      <c r="Q38" s="175">
        <f t="shared" si="5"/>
        <v>350</v>
      </c>
      <c r="R38" s="175"/>
    </row>
    <row r="39" spans="1:18" ht="24.75" customHeight="1">
      <c r="A39" s="169">
        <v>23</v>
      </c>
      <c r="B39" s="28" t="s">
        <v>248</v>
      </c>
      <c r="C39" s="178"/>
      <c r="D39" s="179">
        <v>850</v>
      </c>
      <c r="E39" s="172">
        <v>850</v>
      </c>
      <c r="F39" s="173">
        <v>255</v>
      </c>
      <c r="G39" s="173">
        <v>416.5</v>
      </c>
      <c r="H39" s="173">
        <f t="shared" si="3"/>
        <v>178.5</v>
      </c>
      <c r="I39" s="172">
        <v>850</v>
      </c>
      <c r="J39" s="173">
        <v>255</v>
      </c>
      <c r="K39" s="173">
        <v>416.5</v>
      </c>
      <c r="L39" s="173">
        <f t="shared" si="4"/>
        <v>178.5</v>
      </c>
      <c r="M39" s="175"/>
      <c r="N39" s="175"/>
      <c r="O39" s="175"/>
      <c r="P39" s="175">
        <v>497.302</v>
      </c>
      <c r="Q39" s="175">
        <f t="shared" si="5"/>
        <v>352.698</v>
      </c>
      <c r="R39" s="175"/>
    </row>
    <row r="40" spans="1:19" s="5" customFormat="1" ht="14.25">
      <c r="A40" s="162" t="s">
        <v>249</v>
      </c>
      <c r="B40" s="197" t="s">
        <v>250</v>
      </c>
      <c r="C40" s="192"/>
      <c r="D40" s="198">
        <f aca="true" t="shared" si="6" ref="D40:S40">SUM(D41:D47)</f>
        <v>8557</v>
      </c>
      <c r="E40" s="198">
        <f t="shared" si="6"/>
        <v>5117</v>
      </c>
      <c r="F40" s="198">
        <f t="shared" si="6"/>
        <v>873.9</v>
      </c>
      <c r="G40" s="198">
        <f t="shared" si="6"/>
        <v>1994.1599999999999</v>
      </c>
      <c r="H40" s="198">
        <f t="shared" si="6"/>
        <v>2248.9399999999996</v>
      </c>
      <c r="I40" s="198">
        <f t="shared" si="6"/>
        <v>5117</v>
      </c>
      <c r="J40" s="198">
        <f t="shared" si="6"/>
        <v>873.9</v>
      </c>
      <c r="K40" s="198">
        <f t="shared" si="6"/>
        <v>1994.1599999999999</v>
      </c>
      <c r="L40" s="198">
        <f t="shared" si="6"/>
        <v>2248.9399999999996</v>
      </c>
      <c r="M40" s="198">
        <f t="shared" si="6"/>
        <v>0</v>
      </c>
      <c r="N40" s="198">
        <f t="shared" si="6"/>
        <v>0</v>
      </c>
      <c r="O40" s="198">
        <f t="shared" si="6"/>
        <v>0</v>
      </c>
      <c r="P40" s="198">
        <f t="shared" si="6"/>
        <v>2036.8850000000002</v>
      </c>
      <c r="Q40" s="198">
        <f t="shared" si="6"/>
        <v>3080.115</v>
      </c>
      <c r="R40" s="198">
        <f t="shared" si="6"/>
        <v>0</v>
      </c>
      <c r="S40" s="198">
        <f t="shared" si="6"/>
        <v>0</v>
      </c>
    </row>
    <row r="41" spans="1:18" ht="25.5">
      <c r="A41" s="169">
        <v>1</v>
      </c>
      <c r="B41" s="28" t="s">
        <v>251</v>
      </c>
      <c r="C41" s="178"/>
      <c r="D41" s="179">
        <v>2500</v>
      </c>
      <c r="E41" s="172">
        <v>2500</v>
      </c>
      <c r="F41" s="173">
        <v>88.8</v>
      </c>
      <c r="G41" s="173">
        <v>711.83</v>
      </c>
      <c r="H41" s="173">
        <f t="shared" si="3"/>
        <v>1699.37</v>
      </c>
      <c r="I41" s="172">
        <v>2500</v>
      </c>
      <c r="J41" s="173">
        <v>88.8</v>
      </c>
      <c r="K41" s="173">
        <v>711.83</v>
      </c>
      <c r="L41" s="173">
        <f aca="true" t="shared" si="7" ref="L41:L47">I41-J41-K41</f>
        <v>1699.37</v>
      </c>
      <c r="M41" s="175"/>
      <c r="N41" s="175"/>
      <c r="O41" s="175"/>
      <c r="P41" s="175">
        <v>509.368</v>
      </c>
      <c r="Q41" s="175">
        <f>I41-P41</f>
        <v>1990.632</v>
      </c>
      <c r="R41" s="175"/>
    </row>
    <row r="42" spans="1:18" ht="25.5">
      <c r="A42" s="169">
        <v>2</v>
      </c>
      <c r="B42" s="28" t="s">
        <v>252</v>
      </c>
      <c r="C42" s="178"/>
      <c r="D42" s="175">
        <v>1050</v>
      </c>
      <c r="E42" s="175">
        <v>1050</v>
      </c>
      <c r="F42" s="173">
        <v>315</v>
      </c>
      <c r="G42" s="173">
        <v>514.5</v>
      </c>
      <c r="H42" s="173">
        <f t="shared" si="3"/>
        <v>220.5</v>
      </c>
      <c r="I42" s="175">
        <v>1050</v>
      </c>
      <c r="J42" s="173">
        <v>315</v>
      </c>
      <c r="K42" s="173">
        <v>514.5</v>
      </c>
      <c r="L42" s="173">
        <f t="shared" si="7"/>
        <v>220.5</v>
      </c>
      <c r="M42" s="175"/>
      <c r="N42" s="175"/>
      <c r="O42" s="175"/>
      <c r="P42" s="175">
        <v>1010.985</v>
      </c>
      <c r="Q42" s="175">
        <f t="shared" si="5"/>
        <v>39.014999999999986</v>
      </c>
      <c r="R42" s="175"/>
    </row>
    <row r="43" spans="1:18" ht="51.75">
      <c r="A43" s="169">
        <v>4</v>
      </c>
      <c r="B43" s="196" t="s">
        <v>253</v>
      </c>
      <c r="C43" s="178"/>
      <c r="D43" s="179">
        <v>1104</v>
      </c>
      <c r="E43" s="172">
        <v>304</v>
      </c>
      <c r="F43" s="173">
        <v>91.2</v>
      </c>
      <c r="G43" s="173">
        <v>148.96</v>
      </c>
      <c r="H43" s="173">
        <f t="shared" si="3"/>
        <v>63.84</v>
      </c>
      <c r="I43" s="172">
        <v>304</v>
      </c>
      <c r="J43" s="173">
        <v>91.2</v>
      </c>
      <c r="K43" s="173">
        <v>148.96</v>
      </c>
      <c r="L43" s="173">
        <f t="shared" si="7"/>
        <v>63.84</v>
      </c>
      <c r="M43" s="175"/>
      <c r="N43" s="175"/>
      <c r="O43" s="175"/>
      <c r="P43" s="175"/>
      <c r="Q43" s="175">
        <f t="shared" si="5"/>
        <v>304</v>
      </c>
      <c r="R43" s="175"/>
    </row>
    <row r="44" spans="1:18" ht="51.75">
      <c r="A44" s="169">
        <v>5</v>
      </c>
      <c r="B44" s="196" t="s">
        <v>254</v>
      </c>
      <c r="C44" s="178"/>
      <c r="D44" s="179">
        <v>1133</v>
      </c>
      <c r="E44" s="172">
        <v>333</v>
      </c>
      <c r="F44" s="173">
        <v>99.89999999999999</v>
      </c>
      <c r="G44" s="173">
        <v>163.17000000000002</v>
      </c>
      <c r="H44" s="173">
        <f t="shared" si="3"/>
        <v>69.93</v>
      </c>
      <c r="I44" s="172">
        <v>333</v>
      </c>
      <c r="J44" s="173">
        <v>99.89999999999999</v>
      </c>
      <c r="K44" s="173">
        <v>163.17000000000002</v>
      </c>
      <c r="L44" s="173">
        <f t="shared" si="7"/>
        <v>69.93</v>
      </c>
      <c r="M44" s="175"/>
      <c r="N44" s="175"/>
      <c r="O44" s="175"/>
      <c r="P44" s="175"/>
      <c r="Q44" s="175">
        <f t="shared" si="5"/>
        <v>333</v>
      </c>
      <c r="R44" s="175"/>
    </row>
    <row r="45" spans="1:18" ht="15">
      <c r="A45" s="169">
        <v>6</v>
      </c>
      <c r="B45" s="199" t="s">
        <v>255</v>
      </c>
      <c r="C45" s="178"/>
      <c r="D45" s="179">
        <v>610</v>
      </c>
      <c r="E45" s="172">
        <v>320</v>
      </c>
      <c r="F45" s="173">
        <v>96</v>
      </c>
      <c r="G45" s="173">
        <v>156.79999999999998</v>
      </c>
      <c r="H45" s="173">
        <f t="shared" si="3"/>
        <v>67.20000000000002</v>
      </c>
      <c r="I45" s="172">
        <v>320</v>
      </c>
      <c r="J45" s="173">
        <v>96</v>
      </c>
      <c r="K45" s="173">
        <v>156.79999999999998</v>
      </c>
      <c r="L45" s="173">
        <f t="shared" si="7"/>
        <v>67.20000000000002</v>
      </c>
      <c r="M45" s="175"/>
      <c r="N45" s="175"/>
      <c r="O45" s="175"/>
      <c r="P45" s="175">
        <v>229.333</v>
      </c>
      <c r="Q45" s="175">
        <f t="shared" si="5"/>
        <v>90.667</v>
      </c>
      <c r="R45" s="175"/>
    </row>
    <row r="46" spans="1:18" ht="64.5">
      <c r="A46" s="169">
        <v>7</v>
      </c>
      <c r="B46" s="196" t="s">
        <v>256</v>
      </c>
      <c r="C46" s="178"/>
      <c r="D46" s="179">
        <v>1160</v>
      </c>
      <c r="E46" s="172">
        <v>360</v>
      </c>
      <c r="F46" s="173">
        <v>108</v>
      </c>
      <c r="G46" s="173">
        <v>176.39999999999998</v>
      </c>
      <c r="H46" s="173">
        <f t="shared" si="3"/>
        <v>75.60000000000002</v>
      </c>
      <c r="I46" s="172">
        <v>360</v>
      </c>
      <c r="J46" s="173">
        <v>108</v>
      </c>
      <c r="K46" s="173">
        <v>176.39999999999998</v>
      </c>
      <c r="L46" s="173">
        <f t="shared" si="7"/>
        <v>75.60000000000002</v>
      </c>
      <c r="M46" s="175"/>
      <c r="N46" s="175"/>
      <c r="O46" s="175"/>
      <c r="P46" s="175">
        <v>287.199</v>
      </c>
      <c r="Q46" s="175">
        <f t="shared" si="5"/>
        <v>72.80099999999999</v>
      </c>
      <c r="R46" s="175"/>
    </row>
    <row r="47" spans="1:18" ht="26.25">
      <c r="A47" s="169">
        <v>8</v>
      </c>
      <c r="B47" s="196" t="s">
        <v>257</v>
      </c>
      <c r="C47" s="178"/>
      <c r="D47" s="179">
        <v>1000</v>
      </c>
      <c r="E47" s="172">
        <v>250</v>
      </c>
      <c r="F47" s="173">
        <v>75</v>
      </c>
      <c r="G47" s="173">
        <v>122.49999999999999</v>
      </c>
      <c r="H47" s="173">
        <f t="shared" si="3"/>
        <v>52.500000000000014</v>
      </c>
      <c r="I47" s="172">
        <v>250</v>
      </c>
      <c r="J47" s="173">
        <v>75</v>
      </c>
      <c r="K47" s="173">
        <v>122.49999999999999</v>
      </c>
      <c r="L47" s="173">
        <f t="shared" si="7"/>
        <v>52.500000000000014</v>
      </c>
      <c r="M47" s="175"/>
      <c r="N47" s="175"/>
      <c r="O47" s="175"/>
      <c r="P47" s="175">
        <v>0</v>
      </c>
      <c r="Q47" s="175">
        <f t="shared" si="5"/>
        <v>250</v>
      </c>
      <c r="R47" s="175"/>
    </row>
    <row r="48" spans="1:18" s="204" customFormat="1" ht="28.5">
      <c r="A48" s="200" t="s">
        <v>258</v>
      </c>
      <c r="B48" s="201" t="s">
        <v>259</v>
      </c>
      <c r="C48" s="202"/>
      <c r="D48" s="203">
        <f aca="true" t="shared" si="8" ref="D48:R48">D49</f>
        <v>500</v>
      </c>
      <c r="E48" s="203">
        <f t="shared" si="8"/>
        <v>500</v>
      </c>
      <c r="F48" s="203">
        <f t="shared" si="8"/>
        <v>0</v>
      </c>
      <c r="G48" s="203">
        <f t="shared" si="8"/>
        <v>0</v>
      </c>
      <c r="H48" s="203">
        <f t="shared" si="8"/>
        <v>500</v>
      </c>
      <c r="I48" s="203">
        <f t="shared" si="8"/>
        <v>500</v>
      </c>
      <c r="J48" s="203">
        <f t="shared" si="8"/>
        <v>0</v>
      </c>
      <c r="K48" s="203">
        <f t="shared" si="8"/>
        <v>0</v>
      </c>
      <c r="L48" s="203">
        <f t="shared" si="8"/>
        <v>500</v>
      </c>
      <c r="M48" s="203">
        <f t="shared" si="8"/>
        <v>0</v>
      </c>
      <c r="N48" s="203">
        <f t="shared" si="8"/>
        <v>0</v>
      </c>
      <c r="O48" s="203">
        <f t="shared" si="8"/>
        <v>0</v>
      </c>
      <c r="P48" s="203">
        <f t="shared" si="8"/>
        <v>499.95</v>
      </c>
      <c r="Q48" s="203">
        <f t="shared" si="8"/>
        <v>0</v>
      </c>
      <c r="R48" s="203">
        <f t="shared" si="8"/>
        <v>0</v>
      </c>
    </row>
    <row r="49" spans="1:18" ht="15">
      <c r="A49" s="169">
        <v>3</v>
      </c>
      <c r="B49" s="28" t="s">
        <v>260</v>
      </c>
      <c r="C49" s="178"/>
      <c r="D49" s="179">
        <v>500</v>
      </c>
      <c r="E49" s="172">
        <v>500</v>
      </c>
      <c r="F49" s="173"/>
      <c r="G49" s="173"/>
      <c r="H49" s="173">
        <f t="shared" si="3"/>
        <v>500</v>
      </c>
      <c r="I49" s="172">
        <v>500</v>
      </c>
      <c r="J49" s="173"/>
      <c r="K49" s="173"/>
      <c r="L49" s="173">
        <f>I49-J49-K49</f>
        <v>500</v>
      </c>
      <c r="M49" s="175"/>
      <c r="N49" s="175"/>
      <c r="O49" s="175"/>
      <c r="P49" s="205">
        <v>499.95</v>
      </c>
      <c r="Q49" s="175">
        <v>0</v>
      </c>
      <c r="R49" s="175"/>
    </row>
    <row r="50" spans="2:18" ht="18.75" customHeight="1">
      <c r="B50" s="4"/>
      <c r="C50" s="4"/>
      <c r="D50" s="4"/>
      <c r="E50" s="4"/>
      <c r="L50" s="206" t="s">
        <v>261</v>
      </c>
      <c r="M50" s="206"/>
      <c r="N50" s="206"/>
      <c r="O50" s="206"/>
      <c r="P50" s="206"/>
      <c r="Q50" s="206"/>
      <c r="R50" s="206"/>
    </row>
    <row r="51" spans="2:18" ht="18.75" customHeight="1">
      <c r="B51" s="207" t="s">
        <v>262</v>
      </c>
      <c r="C51" s="207"/>
      <c r="D51" s="207"/>
      <c r="E51" s="4"/>
      <c r="L51" s="208" t="s">
        <v>263</v>
      </c>
      <c r="M51" s="208"/>
      <c r="N51" s="208"/>
      <c r="O51" s="208"/>
      <c r="P51" s="208"/>
      <c r="Q51" s="208"/>
      <c r="R51" s="208"/>
    </row>
    <row r="52" spans="2:16" ht="15.75">
      <c r="B52" s="4"/>
      <c r="C52" s="4"/>
      <c r="D52" s="4"/>
      <c r="E52" s="4"/>
      <c r="O52" s="209"/>
      <c r="P52" s="209"/>
    </row>
    <row r="53" spans="2:16" ht="15.75">
      <c r="B53" s="4"/>
      <c r="C53" s="4"/>
      <c r="D53" s="4"/>
      <c r="E53" s="4"/>
      <c r="O53" s="209"/>
      <c r="P53" s="209"/>
    </row>
    <row r="54" spans="2:16" ht="15.75">
      <c r="B54" s="4"/>
      <c r="C54" s="4"/>
      <c r="D54" s="4"/>
      <c r="E54" s="4"/>
      <c r="O54" s="209"/>
      <c r="P54" s="209"/>
    </row>
    <row r="55" spans="2:18" ht="18.75" customHeight="1">
      <c r="B55" s="207" t="s">
        <v>264</v>
      </c>
      <c r="C55" s="207"/>
      <c r="D55" s="207"/>
      <c r="E55" s="4"/>
      <c r="L55" s="206" t="s">
        <v>265</v>
      </c>
      <c r="M55" s="206"/>
      <c r="N55" s="206"/>
      <c r="O55" s="206"/>
      <c r="P55" s="206"/>
      <c r="Q55" s="206"/>
      <c r="R55" s="206"/>
    </row>
  </sheetData>
  <sheetProtection/>
  <mergeCells count="17">
    <mergeCell ref="Q5:Q6"/>
    <mergeCell ref="R5:R6"/>
    <mergeCell ref="L50:R50"/>
    <mergeCell ref="B51:D51"/>
    <mergeCell ref="L51:R51"/>
    <mergeCell ref="B55:D55"/>
    <mergeCell ref="L55:R55"/>
    <mergeCell ref="A1:R1"/>
    <mergeCell ref="A2:R2"/>
    <mergeCell ref="A5:A6"/>
    <mergeCell ref="B5:B6"/>
    <mergeCell ref="C5:C6"/>
    <mergeCell ref="D5:D6"/>
    <mergeCell ref="E5:H5"/>
    <mergeCell ref="I5:L5"/>
    <mergeCell ref="M5:O5"/>
    <mergeCell ref="P5:P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0905.995.488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 An</dc:creator>
  <cp:keywords/>
  <dc:description/>
  <cp:lastModifiedBy>AutoBVT</cp:lastModifiedBy>
  <cp:lastPrinted>2023-06-30T07:22:54Z</cp:lastPrinted>
  <dcterms:created xsi:type="dcterms:W3CDTF">2018-03-29T07:47:53Z</dcterms:created>
  <dcterms:modified xsi:type="dcterms:W3CDTF">2023-08-02T07:26:08Z</dcterms:modified>
  <cp:category/>
  <cp:version/>
  <cp:contentType/>
  <cp:contentStatus/>
</cp:coreProperties>
</file>